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icio" sheetId="1" state="visible" r:id="rId3"/>
    <sheet name="Control" sheetId="2" state="visible" r:id="rId4"/>
    <sheet name="Resumen" sheetId="3" state="visible" r:id="rId5"/>
    <sheet name="Pedidos" sheetId="4" state="visible" r:id="rId6"/>
    <sheet name="Incidencias" sheetId="5" state="visible" r:id="rId7"/>
    <sheet name="Clientes" sheetId="6" state="visible" r:id="rId8"/>
    <sheet name="Calidad" sheetId="7" state="visible" r:id="rId9"/>
    <sheet name="Registro_cambios" sheetId="8" state="visible" r:id="rId10"/>
    <sheet name="Pruebas" sheetId="9" state="visible" r:id="rId11"/>
  </sheets>
  <definedNames>
    <definedName function="false" hidden="false" localSheetId="1" name="_xlnm.Print_Area" vbProcedure="false">Control!$B$2:$K$34</definedName>
    <definedName function="false" hidden="true" localSheetId="4" name="_xlnm._FilterDatabase" vbProcedure="false">Incidencias!$A$1:$K$151</definedName>
    <definedName function="false" hidden="true" localSheetId="3" name="_xlnm._FilterDatabase" vbProcedure="false">Pedidos!$A$1:$W$301</definedName>
    <definedName function="false" hidden="true" localSheetId="7" name="_xlnm._FilterDatabase" vbProcedure="false">Registro_cambios!$A$1:$H$56</definedName>
    <definedName function="false" hidden="false" localSheetId="2" name="_xlnm.Print_Area" vbProcedure="false">Resumen!$B$2:$K$31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<sst xmlns="http://schemas.openxmlformats.org/spreadsheetml/2006/main" count="1239" uniqueCount="455">
  <si>
    <t xml:space="preserve">Pendiente</t>
  </si>
  <si>
    <t xml:space="preserve">Coyote Store · Control de pedidos e incidencias</t>
  </si>
  <si>
    <t xml:space="preserve">En taller</t>
  </si>
  <si>
    <t xml:space="preserve">Esperando pieza</t>
  </si>
  <si>
    <t xml:space="preserve">Para qué sirve</t>
  </si>
  <si>
    <t xml:space="preserve">Listo para recoger</t>
  </si>
  <si>
    <t xml:space="preserve">Tener en un solo sitio los encargos, reparaciones y montajes de la tienda y saber cada mañana qué pedidos se están retrasando, quién tiene que moverlos y cuánto dinero queda por cobrar.</t>
  </si>
  <si>
    <t xml:space="preserve">Entregado</t>
  </si>
  <si>
    <t xml:space="preserve">Anulado</t>
  </si>
  <si>
    <t xml:space="preserve">Cómo se usa</t>
  </si>
  <si>
    <t xml:space="preserve">1. En la hoja Control, cambiar la fecha de corte (celda amarilla) por la fecha del día.</t>
  </si>
  <si>
    <t xml:space="preserve">2. Los pedidos nuevos se añaden al final de la hoja Pedidos, columnas A a J. El resto de columnas se calculan solas.</t>
  </si>
  <si>
    <t xml:space="preserve">3. Cuando cambia algo (llega una pieza, el cliente recoge), se actualiza el estado y, si se entrega, la fecha de entrega.</t>
  </si>
  <si>
    <t xml:space="preserve">4. Las incidencias van en su hoja, siempre con el código del pedido al que pertenecen.</t>
  </si>
  <si>
    <t xml:space="preserve">5. Antes de sacar conclusiones, mirar la hoja Calidad: si hay avisos, se corrigen primero.</t>
  </si>
  <si>
    <t xml:space="preserve">Reglas</t>
  </si>
  <si>
    <t xml:space="preserve">Pedido abierto: cualquier estado que no sea Entregado ni Anulado.</t>
  </si>
  <si>
    <t xml:space="preserve">Fuera de plazo: sigue abierto y su fecha prevista es anterior a la fecha de corte.</t>
  </si>
  <si>
    <t xml:space="preserve">Dato pendiente: está abierto y no tiene fecha prevista. No cuenta como «en plazo» porque no se puede saber.</t>
  </si>
  <si>
    <t xml:space="preserve">Pendiente de cobro: importe menos lo que el cliente dejó a cuenta, solo en pedidos abiertos.</t>
  </si>
  <si>
    <t xml:space="preserve">El importe vive en la hoja Pedidos, una vez por pedido. Las incidencias solo se cuentan; nunca suman dinero, así un pedido con dos incidencias no se cobra dos veces.</t>
  </si>
  <si>
    <t xml:space="preserve">Estados permitidos</t>
  </si>
  <si>
    <t xml:space="preserve">Pendiente · En taller · Esperando pieza · Listo para recoger · Entregado · Anulado</t>
  </si>
  <si>
    <t xml:space="preserve">Hojas</t>
  </si>
  <si>
    <t xml:space="preserve">Control: resumen y lista de pedidos que hay que mover hoy.</t>
  </si>
  <si>
    <t xml:space="preserve">Pedidos, Incidencias, Clientes: los datos ya limpios, con columnas de cálculo a la derecha (cabecera gris oscuro).</t>
  </si>
  <si>
    <t xml:space="preserve">Resumen: pedidos e incidencias por tipo de trabajo.</t>
  </si>
  <si>
    <t xml:space="preserve">Calidad: avisos de datos incompletos o mal escritos.</t>
  </si>
  <si>
    <t xml:space="preserve">Registro_cambios: todo lo que se corrigió al limpiar el registro original y por qué.</t>
  </si>
  <si>
    <t xml:space="preserve">Pruebas: casos que comprobé antes de dar el archivo por bueno.</t>
  </si>
  <si>
    <t xml:space="preserve">Los datos de este archivo son de ejemplo. Reproducen el tipo de pedidos de la tienda, pero los nombres, importes y fechas no corresponden a clientes reales.</t>
  </si>
  <si>
    <t xml:space="preserve">Control de pedidos · Coyote Store</t>
  </si>
  <si>
    <t xml:space="preserve">Fecha de corte</t>
  </si>
  <si>
    <t xml:space="preserve">Cambiar por la fecha del día. Todo lo demás se recalcula.</t>
  </si>
  <si>
    <t xml:space="preserve">Pedidos registrados</t>
  </si>
  <si>
    <t xml:space="preserve">Pedidos abiertos</t>
  </si>
  <si>
    <t xml:space="preserve">Abiertos fuera de plazo</t>
  </si>
  <si>
    <t xml:space="preserve">Pendiente de cobro</t>
  </si>
  <si>
    <t xml:space="preserve">Fuera de plazo por la tienda o el proveedor</t>
  </si>
  <si>
    <t xml:space="preserve">Fuera de plazo porque el cliente no recoge</t>
  </si>
  <si>
    <t xml:space="preserve">Abiertos sin fecha prevista (dato pendiente)</t>
  </si>
  <si>
    <t xml:space="preserve">Incidencias abiertas</t>
  </si>
  <si>
    <t xml:space="preserve">Dinero en equipos listos que nadie recoge</t>
  </si>
  <si>
    <t xml:space="preserve">Entregados dentro del plazo</t>
  </si>
  <si>
    <t xml:space="preserve">Avisos de calidad pendientes</t>
  </si>
  <si>
    <t xml:space="preserve">Qué hay que mover hoy</t>
  </si>
  <si>
    <t xml:space="preserve">Pedidos abiertos sin fecha prevista primero; después, los fuera de plazo de más a menos días de retraso.</t>
  </si>
  <si>
    <t xml:space="preserve">Pedido</t>
  </si>
  <si>
    <t xml:space="preserve">Fecha prevista</t>
  </si>
  <si>
    <t xml:space="preserve">Cliente</t>
  </si>
  <si>
    <t xml:space="preserve">Tipo</t>
  </si>
  <si>
    <t xml:space="preserve">Estado</t>
  </si>
  <si>
    <t xml:space="preserve">Días</t>
  </si>
  <si>
    <t xml:space="preserve">Incid.</t>
  </si>
  <si>
    <t xml:space="preserve">Retraso de</t>
  </si>
  <si>
    <t xml:space="preserve">Acción</t>
  </si>
  <si>
    <t xml:space="preserve">Resumen por tipo de trabajo</t>
  </si>
  <si>
    <t xml:space="preserve">Mismo corte que la hoja Control.</t>
  </si>
  <si>
    <t xml:space="preserve">Tipo de trabajo</t>
  </si>
  <si>
    <t xml:space="preserve">Pedidos</t>
  </si>
  <si>
    <t xml:space="preserve">Abiertos</t>
  </si>
  <si>
    <t xml:space="preserve">Fuera de plazo</t>
  </si>
  <si>
    <t xml:space="preserve">Entregados</t>
  </si>
  <si>
    <t xml:space="preserve">A tiempo</t>
  </si>
  <si>
    <t xml:space="preserve">% a tiempo</t>
  </si>
  <si>
    <t xml:space="preserve">Incidencias</t>
  </si>
  <si>
    <t xml:space="preserve">Facturación (sin anulados)</t>
  </si>
  <si>
    <t xml:space="preserve">Reparación</t>
  </si>
  <si>
    <t xml:space="preserve">Montaje PC</t>
  </si>
  <si>
    <t xml:space="preserve">Encargo de componente</t>
  </si>
  <si>
    <t xml:space="preserve">Portátil</t>
  </si>
  <si>
    <t xml:space="preserve">Streaming</t>
  </si>
  <si>
    <t xml:space="preserve">Periféricos</t>
  </si>
  <si>
    <t xml:space="preserve">Total</t>
  </si>
  <si>
    <t xml:space="preserve">Incidencias por tipo</t>
  </si>
  <si>
    <t xml:space="preserve">Pedidos abiertos por tipo</t>
  </si>
  <si>
    <t xml:space="preserve">Tipo de incidencia</t>
  </si>
  <si>
    <t xml:space="preserve">Abiertas</t>
  </si>
  <si>
    <t xml:space="preserve">Días medios hasta cerrar</t>
  </si>
  <si>
    <t xml:space="preserve">Retraso de proveedor</t>
  </si>
  <si>
    <t xml:space="preserve">Pieza defectuosa</t>
  </si>
  <si>
    <t xml:space="preserve">Incompatibilidad</t>
  </si>
  <si>
    <t xml:space="preserve">Presupuesto modificado</t>
  </si>
  <si>
    <t xml:space="preserve">Cliente no localizable</t>
  </si>
  <si>
    <t xml:space="preserve">Daño en transporte</t>
  </si>
  <si>
    <t xml:space="preserve">Garantía</t>
  </si>
  <si>
    <t xml:space="preserve">id_pedido</t>
  </si>
  <si>
    <t xml:space="preserve">id_cliente</t>
  </si>
  <si>
    <t xml:space="preserve">fecha_pedido</t>
  </si>
  <si>
    <t xml:space="preserve">tipo</t>
  </si>
  <si>
    <t xml:space="preserve">descripcion</t>
  </si>
  <si>
    <t xml:space="preserve">fecha_prevista</t>
  </si>
  <si>
    <t xml:space="preserve">fecha_entrega</t>
  </si>
  <si>
    <t xml:space="preserve">importe</t>
  </si>
  <si>
    <t xml:space="preserve">anticipo</t>
  </si>
  <si>
    <t xml:space="preserve">estado</t>
  </si>
  <si>
    <t xml:space="preserve">Abierto</t>
  </si>
  <si>
    <t xml:space="preserve">Situación</t>
  </si>
  <si>
    <t xml:space="preserve">Días de retraso</t>
  </si>
  <si>
    <t xml:space="preserve">Incid. abiertas</t>
  </si>
  <si>
    <t xml:space="preserve">Entregado a tiempo</t>
  </si>
  <si>
    <t xml:space="preserve">Aviso de calidad</t>
  </si>
  <si>
    <t xml:space="preserve">orden_control</t>
  </si>
  <si>
    <t xml:space="preserve">orden_aviso</t>
  </si>
  <si>
    <t xml:space="preserve">P-0412</t>
  </si>
  <si>
    <t xml:space="preserve">C-013</t>
  </si>
  <si>
    <t xml:space="preserve">Portátil gaming RTX 4060 / 32 GB</t>
  </si>
  <si>
    <t xml:space="preserve">P-0413</t>
  </si>
  <si>
    <t xml:space="preserve">C-018</t>
  </si>
  <si>
    <t xml:space="preserve">Monitor 27" QHD 165 Hz</t>
  </si>
  <si>
    <t xml:space="preserve">P-0414</t>
  </si>
  <si>
    <t xml:space="preserve">C-003</t>
  </si>
  <si>
    <t xml:space="preserve">PC oficina Intel i5 + 16 GB</t>
  </si>
  <si>
    <t xml:space="preserve">P-0415</t>
  </si>
  <si>
    <t xml:space="preserve">C-005</t>
  </si>
  <si>
    <t xml:space="preserve">SSD NVMe 2 TB PCIe 4.0</t>
  </si>
  <si>
    <t xml:space="preserve">P-0416</t>
  </si>
  <si>
    <t xml:space="preserve">C-019</t>
  </si>
  <si>
    <t xml:space="preserve">P-0417</t>
  </si>
  <si>
    <t xml:space="preserve">C-010</t>
  </si>
  <si>
    <t xml:space="preserve">Cambio de fuente de alimentación PC</t>
  </si>
  <si>
    <t xml:space="preserve">P-0418</t>
  </si>
  <si>
    <t xml:space="preserve">C-002</t>
  </si>
  <si>
    <t xml:space="preserve">Tarjeta gráfica RTX 4060 8 GB</t>
  </si>
  <si>
    <t xml:space="preserve">P-0419</t>
  </si>
  <si>
    <t xml:space="preserve">Webcam 4K + panel de luz LED</t>
  </si>
  <si>
    <t xml:space="preserve">P-0420</t>
  </si>
  <si>
    <t xml:space="preserve">P-0421</t>
  </si>
  <si>
    <t xml:space="preserve">C-004</t>
  </si>
  <si>
    <t xml:space="preserve">Monitor 24" Full HD (x2)</t>
  </si>
  <si>
    <t xml:space="preserve">P-0422</t>
  </si>
  <si>
    <t xml:space="preserve">C-011</t>
  </si>
  <si>
    <t xml:space="preserve">Procesador Ryzen 7 7700</t>
  </si>
  <si>
    <t xml:space="preserve">P-0423</t>
  </si>
  <si>
    <t xml:space="preserve">C-020</t>
  </si>
  <si>
    <t xml:space="preserve">Cambio de SSD y clonado de sistema</t>
  </si>
  <si>
    <t xml:space="preserve">P-0424</t>
  </si>
  <si>
    <t xml:space="preserve">C-015</t>
  </si>
  <si>
    <t xml:space="preserve">PC diseño Intel i7 + 32 GB + RTX 4060</t>
  </si>
  <si>
    <t xml:space="preserve">P-0425</t>
  </si>
  <si>
    <t xml:space="preserve">Auriculares inalámbricos gaming</t>
  </si>
  <si>
    <t xml:space="preserve">P-0426</t>
  </si>
  <si>
    <t xml:space="preserve">C-016</t>
  </si>
  <si>
    <t xml:space="preserve">Tarjeta gráfica RTX 4070 Super</t>
  </si>
  <si>
    <t xml:space="preserve">P-0427</t>
  </si>
  <si>
    <t xml:space="preserve">P-0428</t>
  </si>
  <si>
    <t xml:space="preserve">Sustitución de teclado portátil</t>
  </si>
  <si>
    <t xml:space="preserve">P-0429</t>
  </si>
  <si>
    <t xml:space="preserve">Cambio de pantalla portátil 15,6"</t>
  </si>
  <si>
    <t xml:space="preserve">P-0430</t>
  </si>
  <si>
    <t xml:space="preserve">C-007</t>
  </si>
  <si>
    <t xml:space="preserve">Portátil gaming RTX 4050</t>
  </si>
  <si>
    <t xml:space="preserve">P-0431</t>
  </si>
  <si>
    <t xml:space="preserve">P-0432</t>
  </si>
  <si>
    <t xml:space="preserve">P-0433</t>
  </si>
  <si>
    <t xml:space="preserve">Capturadora Elgato HD60 X</t>
  </si>
  <si>
    <t xml:space="preserve">P-0434</t>
  </si>
  <si>
    <t xml:space="preserve">C-001</t>
  </si>
  <si>
    <t xml:space="preserve">Reparación conector de carga</t>
  </si>
  <si>
    <t xml:space="preserve">P-0435</t>
  </si>
  <si>
    <t xml:space="preserve">Kit streaming: micrófono USB + brazo + aro de luz</t>
  </si>
  <si>
    <t xml:space="preserve">P-0436</t>
  </si>
  <si>
    <t xml:space="preserve">Ratón ergonómico vertical (x5)</t>
  </si>
  <si>
    <t xml:space="preserve">P-0437</t>
  </si>
  <si>
    <t xml:space="preserve">C-009</t>
  </si>
  <si>
    <t xml:space="preserve">P-0438</t>
  </si>
  <si>
    <t xml:space="preserve">P-0439</t>
  </si>
  <si>
    <t xml:space="preserve">Portátil 14" Ryzen 7 / 16 GB / 1 TB</t>
  </si>
  <si>
    <t xml:space="preserve">P-0440</t>
  </si>
  <si>
    <t xml:space="preserve">P-0441</t>
  </si>
  <si>
    <t xml:space="preserve">P-0442</t>
  </si>
  <si>
    <t xml:space="preserve">PC gaming Ryzen 5 7600 + RTX 4060</t>
  </si>
  <si>
    <t xml:space="preserve">P-0443</t>
  </si>
  <si>
    <t xml:space="preserve">P-0444</t>
  </si>
  <si>
    <t xml:space="preserve">P-0445</t>
  </si>
  <si>
    <t xml:space="preserve">C-012</t>
  </si>
  <si>
    <t xml:space="preserve">P-0446</t>
  </si>
  <si>
    <t xml:space="preserve">P-0447</t>
  </si>
  <si>
    <t xml:space="preserve">Teclado mecánico + ratón inalámbrico</t>
  </si>
  <si>
    <t xml:space="preserve">P-0448</t>
  </si>
  <si>
    <t xml:space="preserve">P-0449</t>
  </si>
  <si>
    <t xml:space="preserve">P-0450</t>
  </si>
  <si>
    <t xml:space="preserve">P-0451</t>
  </si>
  <si>
    <t xml:space="preserve">P-0452</t>
  </si>
  <si>
    <t xml:space="preserve">Reinstalación de Windows y copia de datos</t>
  </si>
  <si>
    <t xml:space="preserve">P-0453</t>
  </si>
  <si>
    <t xml:space="preserve">PC streaming Ryzen 7 7700 + RTX 4060 Ti</t>
  </si>
  <si>
    <t xml:space="preserve">P-0454</t>
  </si>
  <si>
    <t xml:space="preserve">Caja ATX con cristal templado</t>
  </si>
  <si>
    <t xml:space="preserve">P-0455</t>
  </si>
  <si>
    <t xml:space="preserve">P-0456</t>
  </si>
  <si>
    <t xml:space="preserve">P-0457</t>
  </si>
  <si>
    <t xml:space="preserve">P-0458</t>
  </si>
  <si>
    <t xml:space="preserve">P-0459</t>
  </si>
  <si>
    <t xml:space="preserve">Set completo streaming (cámara, micro, luces)</t>
  </si>
  <si>
    <t xml:space="preserve">P-0460</t>
  </si>
  <si>
    <t xml:space="preserve">Memoria DDR5 32 GB (2x16)</t>
  </si>
  <si>
    <t xml:space="preserve">P-0461</t>
  </si>
  <si>
    <t xml:space="preserve">P-0462</t>
  </si>
  <si>
    <t xml:space="preserve">Portátil 15,6" i5 / 16 GB / 512 GB</t>
  </si>
  <si>
    <t xml:space="preserve">P-0463</t>
  </si>
  <si>
    <t xml:space="preserve">P-0464</t>
  </si>
  <si>
    <t xml:space="preserve">Stream Deck MK.2 + micrófono HyperX QuadCast S</t>
  </si>
  <si>
    <t xml:space="preserve">P-0465</t>
  </si>
  <si>
    <t xml:space="preserve">P-0466</t>
  </si>
  <si>
    <t xml:space="preserve">P-0467</t>
  </si>
  <si>
    <t xml:space="preserve">Placa base B650 ATX</t>
  </si>
  <si>
    <t xml:space="preserve">P-0468</t>
  </si>
  <si>
    <t xml:space="preserve">P-0469</t>
  </si>
  <si>
    <t xml:space="preserve">P-0470</t>
  </si>
  <si>
    <t xml:space="preserve">P-0471</t>
  </si>
  <si>
    <t xml:space="preserve">Disipador líquido 240 mm</t>
  </si>
  <si>
    <t xml:space="preserve">P-0472</t>
  </si>
  <si>
    <t xml:space="preserve">P-0473</t>
  </si>
  <si>
    <t xml:space="preserve">P-0474</t>
  </si>
  <si>
    <t xml:space="preserve">P-0475</t>
  </si>
  <si>
    <t xml:space="preserve">P-0476</t>
  </si>
  <si>
    <t xml:space="preserve">P-0477</t>
  </si>
  <si>
    <t xml:space="preserve">C-021</t>
  </si>
  <si>
    <t xml:space="preserve">P-0478</t>
  </si>
  <si>
    <t xml:space="preserve">P-0479</t>
  </si>
  <si>
    <t xml:space="preserve">P-0480</t>
  </si>
  <si>
    <t xml:space="preserve">P-0481</t>
  </si>
  <si>
    <t xml:space="preserve">P-0482</t>
  </si>
  <si>
    <t xml:space="preserve">P-0483</t>
  </si>
  <si>
    <t xml:space="preserve">Interfaz de audio + micrófono dinámico XLR</t>
  </si>
  <si>
    <t xml:space="preserve">P-0484</t>
  </si>
  <si>
    <t xml:space="preserve">PC gaming Ryzen 7 7800X3D + RTX 4070 Super</t>
  </si>
  <si>
    <t xml:space="preserve">P-0485</t>
  </si>
  <si>
    <t xml:space="preserve">C-008</t>
  </si>
  <si>
    <t xml:space="preserve">Eliminación de virus y puesta a punto</t>
  </si>
  <si>
    <t xml:space="preserve">P-0486</t>
  </si>
  <si>
    <t xml:space="preserve">Cambio de pasta térmica y ventilador</t>
  </si>
  <si>
    <t xml:space="preserve">P-0487</t>
  </si>
  <si>
    <t xml:space="preserve">P-0488</t>
  </si>
  <si>
    <t xml:space="preserve">P-0489</t>
  </si>
  <si>
    <t xml:space="preserve">Fuente 750 W 80+ Gold</t>
  </si>
  <si>
    <t xml:space="preserve">P-0490</t>
  </si>
  <si>
    <t xml:space="preserve">P-0491</t>
  </si>
  <si>
    <t xml:space="preserve">P-0492</t>
  </si>
  <si>
    <t xml:space="preserve">P-0493</t>
  </si>
  <si>
    <t xml:space="preserve">Torre ofimática Ryzen 5 8600G</t>
  </si>
  <si>
    <t xml:space="preserve">P-0494</t>
  </si>
  <si>
    <t xml:space="preserve">P-0495</t>
  </si>
  <si>
    <t xml:space="preserve">P-0496</t>
  </si>
  <si>
    <t xml:space="preserve">P-0497</t>
  </si>
  <si>
    <t xml:space="preserve">P-0498</t>
  </si>
  <si>
    <t xml:space="preserve">P-0499</t>
  </si>
  <si>
    <t xml:space="preserve">P-0500</t>
  </si>
  <si>
    <t xml:space="preserve">P-0501</t>
  </si>
  <si>
    <t xml:space="preserve">P-0502</t>
  </si>
  <si>
    <t xml:space="preserve">P-0503</t>
  </si>
  <si>
    <t xml:space="preserve">P-0504</t>
  </si>
  <si>
    <t xml:space="preserve">P-0505</t>
  </si>
  <si>
    <t xml:space="preserve">Webcam Full HD para videollamadas</t>
  </si>
  <si>
    <t xml:space="preserve">P-0506</t>
  </si>
  <si>
    <t xml:space="preserve">P-0507</t>
  </si>
  <si>
    <t xml:space="preserve">P-0508</t>
  </si>
  <si>
    <t xml:space="preserve">P-0509</t>
  </si>
  <si>
    <t xml:space="preserve">P-0510</t>
  </si>
  <si>
    <t xml:space="preserve">P-0511</t>
  </si>
  <si>
    <t xml:space="preserve">id_incidencia</t>
  </si>
  <si>
    <t xml:space="preserve">fecha_apertura</t>
  </si>
  <si>
    <t xml:space="preserve">responsable</t>
  </si>
  <si>
    <t xml:space="preserve">fecha_cierre</t>
  </si>
  <si>
    <t xml:space="preserve">nota</t>
  </si>
  <si>
    <t xml:space="preserve">Tipo de pedido</t>
  </si>
  <si>
    <t xml:space="preserve">Días abierta</t>
  </si>
  <si>
    <t xml:space="preserve">I-087</t>
  </si>
  <si>
    <t xml:space="preserve">Marta</t>
  </si>
  <si>
    <t xml:space="preserve">Cerrada</t>
  </si>
  <si>
    <t xml:space="preserve">Caja golpeada, se rechaza la entrega</t>
  </si>
  <si>
    <t xml:space="preserve">I-088</t>
  </si>
  <si>
    <t xml:space="preserve">Andrés</t>
  </si>
  <si>
    <t xml:space="preserve">Placa base sin POST, se pide RMA</t>
  </si>
  <si>
    <t xml:space="preserve">I-089</t>
  </si>
  <si>
    <t xml:space="preserve">Reposición de placa tarda una semana</t>
  </si>
  <si>
    <t xml:space="preserve">I-090</t>
  </si>
  <si>
    <t xml:space="preserve">Memoria no compatible con la placa del cliente</t>
  </si>
  <si>
    <t xml:space="preserve">I-091</t>
  </si>
  <si>
    <t xml:space="preserve">Proveedor no confirma fecha</t>
  </si>
  <si>
    <t xml:space="preserve">I-092</t>
  </si>
  <si>
    <t xml:space="preserve">I-093</t>
  </si>
  <si>
    <t xml:space="preserve">Rosa</t>
  </si>
  <si>
    <t xml:space="preserve">Abierta</t>
  </si>
  <si>
    <t xml:space="preserve">Llamadas y WhatsApp sin respuesta</t>
  </si>
  <si>
    <t xml:space="preserve">I-094</t>
  </si>
  <si>
    <t xml:space="preserve">Además de pantalla, falla la batería</t>
  </si>
  <si>
    <t xml:space="preserve">I-095</t>
  </si>
  <si>
    <t xml:space="preserve">Cliente no acepta nuevo presupuesto</t>
  </si>
  <si>
    <t xml:space="preserve">I-096</t>
  </si>
  <si>
    <t xml:space="preserve">I-097</t>
  </si>
  <si>
    <t xml:space="preserve">Teclado con teclas que no responden</t>
  </si>
  <si>
    <t xml:space="preserve">I-098</t>
  </si>
  <si>
    <t xml:space="preserve">Módulo de RAM con errores en memtest</t>
  </si>
  <si>
    <t xml:space="preserve">I-099</t>
  </si>
  <si>
    <t xml:space="preserve">Disipador no entra en la caja</t>
  </si>
  <si>
    <t xml:space="preserve">I-100</t>
  </si>
  <si>
    <t xml:space="preserve">I-101</t>
  </si>
  <si>
    <t xml:space="preserve">Gráfica con artefactos, en garantía</t>
  </si>
  <si>
    <t xml:space="preserve">I-102</t>
  </si>
  <si>
    <t xml:space="preserve">I-103</t>
  </si>
  <si>
    <t xml:space="preserve">I-104</t>
  </si>
  <si>
    <t xml:space="preserve">I-105</t>
  </si>
  <si>
    <t xml:space="preserve">nombre</t>
  </si>
  <si>
    <t xml:space="preserve">tipo_cliente</t>
  </si>
  <si>
    <t xml:space="preserve">canal_contacto</t>
  </si>
  <si>
    <t xml:space="preserve">localidad</t>
  </si>
  <si>
    <t xml:space="preserve">Importe total</t>
  </si>
  <si>
    <t xml:space="preserve">Laura Medina Ortiz</t>
  </si>
  <si>
    <t xml:space="preserve">Particular</t>
  </si>
  <si>
    <t xml:space="preserve">WhatsApp</t>
  </si>
  <si>
    <t xml:space="preserve">Granada</t>
  </si>
  <si>
    <t xml:space="preserve">Javier Soto Herrera</t>
  </si>
  <si>
    <t xml:space="preserve">Tienda</t>
  </si>
  <si>
    <t xml:space="preserve">Armilla</t>
  </si>
  <si>
    <t xml:space="preserve">Gestoría Ruiz y Molina</t>
  </si>
  <si>
    <t xml:space="preserve">Empresa</t>
  </si>
  <si>
    <t xml:space="preserve">Teléfono</t>
  </si>
  <si>
    <t xml:space="preserve">Andrea Castillo Pérez</t>
  </si>
  <si>
    <t xml:space="preserve">Instagram</t>
  </si>
  <si>
    <t xml:space="preserve">Maracena</t>
  </si>
  <si>
    <t xml:space="preserve">Daniel Romero Gil</t>
  </si>
  <si>
    <t xml:space="preserve">C-006</t>
  </si>
  <si>
    <t xml:space="preserve">Pablo Navarro Ruiz</t>
  </si>
  <si>
    <t xml:space="preserve">La Zubia</t>
  </si>
  <si>
    <t xml:space="preserve">Academia Nevada Idiomas</t>
  </si>
  <si>
    <t xml:space="preserve">Correo</t>
  </si>
  <si>
    <t xml:space="preserve">Lucía Vargas Morales</t>
  </si>
  <si>
    <t xml:space="preserve">Ogíjares</t>
  </si>
  <si>
    <t xml:space="preserve">Hugo Martín Serrano</t>
  </si>
  <si>
    <t xml:space="preserve">Carmen López Jiménez</t>
  </si>
  <si>
    <t xml:space="preserve">Sergio Domínguez Rey</t>
  </si>
  <si>
    <t xml:space="preserve">Santa Fe</t>
  </si>
  <si>
    <t xml:space="preserve">Estudio Arco Diseño</t>
  </si>
  <si>
    <t xml:space="preserve">Marina Torres Blanco</t>
  </si>
  <si>
    <t xml:space="preserve">C-014</t>
  </si>
  <si>
    <t xml:space="preserve">Iván Ortega Delgado</t>
  </si>
  <si>
    <t xml:space="preserve">Peligros</t>
  </si>
  <si>
    <t xml:space="preserve">Nerea Fuentes Cano</t>
  </si>
  <si>
    <t xml:space="preserve">Álvaro Prieto Lozano</t>
  </si>
  <si>
    <t xml:space="preserve">C-017</t>
  </si>
  <si>
    <t xml:space="preserve">Elena Ramos Iglesias</t>
  </si>
  <si>
    <t xml:space="preserve">Raúl Herrero Campos</t>
  </si>
  <si>
    <t xml:space="preserve">Atarfe</t>
  </si>
  <si>
    <t xml:space="preserve">Clínica Veterinaria Albaicín</t>
  </si>
  <si>
    <t xml:space="preserve">Manuel Cabrera Vidal</t>
  </si>
  <si>
    <t xml:space="preserve">Calidad de los datos</t>
  </si>
  <si>
    <t xml:space="preserve">Si algún contador no está a cero, conviene corregirlo antes de mirar el Control.</t>
  </si>
  <si>
    <t xml:space="preserve">Aviso</t>
  </si>
  <si>
    <t xml:space="preserve">Hoja</t>
  </si>
  <si>
    <t xml:space="preserve">Filas</t>
  </si>
  <si>
    <t xml:space="preserve">Cliente sin dar de alta</t>
  </si>
  <si>
    <t xml:space="preserve">Falta fecha prevista</t>
  </si>
  <si>
    <t xml:space="preserve">Entregado sin fecha de entrega</t>
  </si>
  <si>
    <t xml:space="preserve">Estado no reconocido</t>
  </si>
  <si>
    <t xml:space="preserve">Prevista anterior al pedido</t>
  </si>
  <si>
    <t xml:space="preserve">Entrega anterior al pedido</t>
  </si>
  <si>
    <t xml:space="preserve">Pedido no encontrado</t>
  </si>
  <si>
    <t xml:space="preserve">Cerrada sin fecha de cierre</t>
  </si>
  <si>
    <t xml:space="preserve">Cierre anterior a la apertura</t>
  </si>
  <si>
    <t xml:space="preserve">Pedidos con aviso</t>
  </si>
  <si>
    <t xml:space="preserve">Nº</t>
  </si>
  <si>
    <t xml:space="preserve">Fila original</t>
  </si>
  <si>
    <t xml:space="preserve">Código</t>
  </si>
  <si>
    <t xml:space="preserve">Campo</t>
  </si>
  <si>
    <t xml:space="preserve">Antes</t>
  </si>
  <si>
    <t xml:space="preserve">Después</t>
  </si>
  <si>
    <t xml:space="preserve">Motivo</t>
  </si>
  <si>
    <t xml:space="preserve">Clientes</t>
  </si>
  <si>
    <t xml:space="preserve">andrea castillo pérez</t>
  </si>
  <si>
    <t xml:space="preserve">Nombre en minúsculas</t>
  </si>
  <si>
    <t xml:space="preserve">whatsapp</t>
  </si>
  <si>
    <t xml:space="preserve">Mismo canal escrito de otra forma</t>
  </si>
  <si>
    <t xml:space="preserve">'Hugo  Martín Serrano'</t>
  </si>
  <si>
    <t xml:space="preserve">Espacios sobrantes</t>
  </si>
  <si>
    <t xml:space="preserve">Whatsapp</t>
  </si>
  <si>
    <t xml:space="preserve">' Nerea Fuentes Cano'</t>
  </si>
  <si>
    <t xml:space="preserve">'instagram '</t>
  </si>
  <si>
    <t xml:space="preserve">95,00 €</t>
  </si>
  <si>
    <t xml:space="preserve">95,00</t>
  </si>
  <si>
    <t xml:space="preserve">Importe escrito como texto</t>
  </si>
  <si>
    <t xml:space="preserve">anulado</t>
  </si>
  <si>
    <t xml:space="preserve">Estado escrito de otra forma</t>
  </si>
  <si>
    <t xml:space="preserve">'Entregado '</t>
  </si>
  <si>
    <t xml:space="preserve">13/06/2026</t>
  </si>
  <si>
    <t xml:space="preserve">Fecha escrita como texto</t>
  </si>
  <si>
    <t xml:space="preserve">entregado</t>
  </si>
  <si>
    <t xml:space="preserve">129,00 €</t>
  </si>
  <si>
    <t xml:space="preserve">129,00</t>
  </si>
  <si>
    <t xml:space="preserve">fila completa</t>
  </si>
  <si>
    <t xml:space="preserve">Duplicado de la fila 22</t>
  </si>
  <si>
    <t xml:space="preserve">Eliminada</t>
  </si>
  <si>
    <t xml:space="preserve">Pedido apuntado dos veces</t>
  </si>
  <si>
    <t xml:space="preserve">p-0439</t>
  </si>
  <si>
    <t xml:space="preserve">Código con espacio o en minúscula</t>
  </si>
  <si>
    <t xml:space="preserve">(vacío)</t>
  </si>
  <si>
    <t xml:space="preserve">Sin fecha prevista: se marca como dato pendiente, no se inventa</t>
  </si>
  <si>
    <t xml:space="preserve">ENTREGADO</t>
  </si>
  <si>
    <t xml:space="preserve">258,00 €</t>
  </si>
  <si>
    <t xml:space="preserve">258,00</t>
  </si>
  <si>
    <t xml:space="preserve">Listo p/ recoger</t>
  </si>
  <si>
    <t xml:space="preserve">10/08/2026</t>
  </si>
  <si>
    <t xml:space="preserve">109,90 €</t>
  </si>
  <si>
    <t xml:space="preserve">109,90</t>
  </si>
  <si>
    <t xml:space="preserve">Duplicado de la fila 55</t>
  </si>
  <si>
    <t xml:space="preserve">'P-0467 '</t>
  </si>
  <si>
    <t xml:space="preserve">1.489,00 €</t>
  </si>
  <si>
    <t xml:space="preserve">1.489,00</t>
  </si>
  <si>
    <t xml:space="preserve">Entregado sin fecha de entrega: queda avisado en Calidad</t>
  </si>
  <si>
    <t xml:space="preserve">08-09-2026</t>
  </si>
  <si>
    <t xml:space="preserve">08/09/2026</t>
  </si>
  <si>
    <t xml:space="preserve">Esp. pieza</t>
  </si>
  <si>
    <t xml:space="preserve">69,00 €</t>
  </si>
  <si>
    <t xml:space="preserve">69,00</t>
  </si>
  <si>
    <t xml:space="preserve">Duplicado de la fila 88</t>
  </si>
  <si>
    <t xml:space="preserve">listo para recoger</t>
  </si>
  <si>
    <t xml:space="preserve">en taller</t>
  </si>
  <si>
    <t xml:space="preserve">59,90 €</t>
  </si>
  <si>
    <t xml:space="preserve">59,90</t>
  </si>
  <si>
    <t xml:space="preserve">pendiente</t>
  </si>
  <si>
    <t xml:space="preserve">Cliente que no está en la tabla de clientes: se mantiene y queda avisado</t>
  </si>
  <si>
    <t xml:space="preserve">retraso proveedor</t>
  </si>
  <si>
    <t xml:space="preserve">Tipo escrito de otra forma</t>
  </si>
  <si>
    <t xml:space="preserve">cerrada</t>
  </si>
  <si>
    <t xml:space="preserve">'P-0449 '</t>
  </si>
  <si>
    <t xml:space="preserve">Código con espacio</t>
  </si>
  <si>
    <t xml:space="preserve">Prueba</t>
  </si>
  <si>
    <t xml:space="preserve">Cómo la hice</t>
  </si>
  <si>
    <t xml:space="preserve">Qué tenía que pasar</t>
  </si>
  <si>
    <t xml:space="preserve">Resultado</t>
  </si>
  <si>
    <t xml:space="preserve">Añadir un pedido nuevo</t>
  </si>
  <si>
    <t xml:space="preserve">Añadí al final de Pedidos el P-0512 (ratón ergonómico, 39,90 €, previsto para el 30/09, estado Pendiente).</t>
  </si>
  <si>
    <t xml:space="preserve">Suben en uno los pedidos registrados y los abiertos, y el pendiente de cobro crece 39,90 €. No cambia el número de fuera de plazo porque aún está en plazo.</t>
  </si>
  <si>
    <t xml:space="preserve">Correcto. Registrados 100 → 101; abiertos 19 → 20; pendiente 3.809,20 → 3.849,10 €.</t>
  </si>
  <si>
    <t xml:space="preserve">Cambiar un pedido a entregado</t>
  </si>
  <si>
    <t xml:space="preserve">Puse el montaje P-0490 como Entregado con fecha 25/09/2026.</t>
  </si>
  <si>
    <t xml:space="preserve">Sale de abiertos y de fuera de plazo, deja de sumar en pendiente de cobro y sigue contando en pedidos registrados.</t>
  </si>
  <si>
    <t xml:space="preserve">Correcto. Abiertos 19 → 18; fuera de plazo 7 → 6; registrados siguen en 100; su situación pasa a «Entregado».</t>
  </si>
  <si>
    <t xml:space="preserve">Dos incidencias para el mismo pedido</t>
  </si>
  <si>
    <t xml:space="preserve">El P-0490 tiene dos incidencias abiertas (pieza defectuosa y retraso de proveedor). Comparé los totales del Excel con la suma hecha pedido a pedido fuera de él.</t>
  </si>
  <si>
    <t xml:space="preserve">El pedido aparece con 2 incidencias, pero su importe se cuenta una sola vez en el pendiente de cobro y en la facturación.</t>
  </si>
  <si>
    <t xml:space="preserve">Correcto. Incidencias del P-0490: 2. Pendiente de cobro 3.809,20 € = suma pedido a pedido 3.809,20 €.</t>
  </si>
  <si>
    <t xml:space="preserve">Fecha prevista vacía o cliente desconocido</t>
  </si>
  <si>
    <t xml:space="preserve">Borré la fecha prevista del P-0505 y cambié el cliente del P-0506 por un código que no existe (C-030).</t>
  </si>
  <si>
    <t xml:space="preserve">Los dos aparecen en Calidad. El P-0505 pasa a «dato pendiente» y sube al principio de la lista de Control, no se cuenta como en plazo.</t>
  </si>
  <si>
    <t xml:space="preserve">Correcto. Avisos de calidad 5 → 7; dato pendiente 2 → 3; el P-0505 aparece en la lista de Control.</t>
  </si>
  <si>
    <t xml:space="preserve">Mover la fecha de corte</t>
  </si>
  <si>
    <t xml:space="preserve">Cambié la fecha de corte del 25/09 al 30/09/2026 sin tocar ningún pedido.</t>
  </si>
  <si>
    <t xml:space="preserve">Los pedidos previstos entre el 25 y el 29 de septiembre que siguen abiertos pasan a fuera de plazo.</t>
  </si>
  <si>
    <t xml:space="preserve">Correcto. Fuera de plazo 7 → 15, lo mismo que sale contando a mano.</t>
  </si>
  <si>
    <t xml:space="preserve">Pedidos duplicados en el registro original</t>
  </si>
  <si>
    <t xml:space="preserve">Conté las filas del registro original y las del archivo limpio, y revisé los tres casos en Registro_cambios.</t>
  </si>
  <si>
    <t xml:space="preserve">Cada pedido aparece una sola vez: 103 filas originales, 100 pedidos distintos.</t>
  </si>
  <si>
    <t xml:space="preserve">Correcto. 103 filas en el original, 100 pedidos en el control.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</si>
</sst>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"/>
    <numFmt numFmtId="167" formatCode="#,##0.00&quot; €&quot;"/>
    <numFmt numFmtId="168" formatCode="0%"/>
    <numFmt numFmtId="169" formatCode="0.0"/>
    <numFmt numFmtId="170" formatCode="0.00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FFFFFF"/>
      <name val="Arial"/>
      <family val="0"/>
      <charset val="1"/>
    </font>
    <font>
      <b val="true"/>
      <sz val="15"/>
      <color rgb="FF26323C"/>
      <name val="Arial"/>
      <family val="0"/>
      <charset val="1"/>
    </font>
    <font>
      <b val="true"/>
      <sz val="10"/>
      <color rgb="FF26323C"/>
      <name val="Arial"/>
      <family val="0"/>
      <charset val="1"/>
    </font>
    <font>
      <sz val="10"/>
      <color rgb="FF26323C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20"/>
      <color rgb="FFB4581E"/>
      <name val="Arial"/>
      <family val="0"/>
      <charset val="1"/>
    </font>
    <font>
      <b val="true"/>
      <sz val="12"/>
      <color rgb="FF26323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Calibri"/>
      <family val="2"/>
    </font>
    <font>
      <sz val="8"/>
      <color rgb="FF9AA0A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BC8"/>
      </patternFill>
    </fill>
    <fill>
      <patternFill patternType="solid">
        <fgColor rgb="FF33414E"/>
        <bgColor rgb="FF26323C"/>
      </patternFill>
    </fill>
    <fill>
      <patternFill patternType="solid">
        <fgColor rgb="FF5B6670"/>
        <bgColor rgb="FF6B6B6B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>
        <color rgb="FFB4581E"/>
      </top>
      <bottom/>
      <diagonal/>
    </border>
    <border diagonalUp="false" diagonalDown="false">
      <left/>
      <right/>
      <top/>
      <bottom style="thin">
        <color rgb="FFD5D9DD"/>
      </bottom>
      <diagonal/>
    </border>
    <border diagonalUp="false" diagonalDown="false">
      <left/>
      <right/>
      <top style="thin">
        <color rgb="FF26323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>
          <bgColor rgb="FFF2F4F5"/>
        </patternFill>
      </fill>
    </dxf>
    <dxf>
      <fill>
        <patternFill patternType="solid">
          <fgColor rgb="FF33414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6323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B6670"/>
          <bgColor rgb="FF000000"/>
        </patternFill>
      </fill>
    </dxf>
    <dxf>
      <fill>
        <patternFill patternType="solid">
          <fgColor rgb="FFF8D7CF"/>
          <bgColor rgb="FF000000"/>
        </patternFill>
      </fill>
    </dxf>
    <dxf>
      <fill>
        <patternFill patternType="solid">
          <fgColor rgb="FFFCEBC8"/>
          <bgColor rgb="FF000000"/>
        </patternFill>
      </fill>
    </dxf>
    <dxf>
      <fill>
        <patternFill patternType="solid">
          <fgColor rgb="FF9AA0A6"/>
          <bgColor rgb="FF000000"/>
        </patternFill>
      </fill>
    </dxf>
    <dxf>
      <fill>
        <patternFill>
          <bgColor rgb="FFF8D7CF"/>
        </patternFill>
      </fill>
    </dxf>
    <dxf>
      <fill>
        <patternFill>
          <bgColor rgb="FFFCEBC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B6B6B"/>
      <rgbColor rgb="FF800080"/>
      <rgbColor rgb="FF008080"/>
      <rgbColor rgb="FFD9D9D9"/>
      <rgbColor rgb="FF878787"/>
      <rgbColor rgb="FF9AA0A6"/>
      <rgbColor rgb="FF993366"/>
      <rgbColor rgb="FFFFF2CC"/>
      <rgbColor rgb="FFF2F4F5"/>
      <rgbColor rgb="FF660066"/>
      <rgbColor rgb="FFFF8080"/>
      <rgbColor rgb="FF0066CC"/>
      <rgbColor rgb="FFD5D9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CEBC8"/>
      <rgbColor rgb="FF99CCFF"/>
      <rgbColor rgb="FFFF99CC"/>
      <rgbColor rgb="FFCC99FF"/>
      <rgbColor rgb="FFF8D7CF"/>
      <rgbColor rgb="FF3366FF"/>
      <rgbColor rgb="FF33CCCC"/>
      <rgbColor rgb="FF99CC00"/>
      <rgbColor rgb="FFFFCC00"/>
      <rgbColor rgb="FFFF9900"/>
      <rgbColor rgb="FFFF6600"/>
      <rgbColor rgb="FF5B6670"/>
      <rgbColor rgb="FF8A96A3"/>
      <rgbColor rgb="FF003366"/>
      <rgbColor rgb="FF339966"/>
      <rgbColor rgb="FF003300"/>
      <rgbColor rgb="FF333300"/>
      <rgbColor rgb="FFB4581E"/>
      <rgbColor rgb="FF993366"/>
      <rgbColor rgb="FF33414E"/>
      <rgbColor rgb="FF2632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Resumen!D5</c:f>
              <c:strCache>
                <c:ptCount val="1"/>
                <c:pt idx="0">
                  <c:v>Abiertos</c:v>
                </c:pt>
              </c:strCache>
            </c:strRef>
          </c:tx>
          <c:spPr>
            <a:solidFill>
              <a:srgbClr val="8a96a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Resumen!$B$6:$B$11</c:f>
              <c:strCache>
                <c:ptCount val="6"/>
                <c:pt idx="0">
                  <c:v>Reparación</c:v>
                </c:pt>
                <c:pt idx="1">
                  <c:v>Montaje PC</c:v>
                </c:pt>
                <c:pt idx="2">
                  <c:v>Encargo de componente</c:v>
                </c:pt>
                <c:pt idx="3">
                  <c:v>Portátil</c:v>
                </c:pt>
                <c:pt idx="4">
                  <c:v>Streaming</c:v>
                </c:pt>
                <c:pt idx="5">
                  <c:v>Periféricos</c:v>
                </c:pt>
              </c:strCache>
            </c:strRef>
          </c:cat>
          <c:val>
            <c:numRef>
              <c:f>Resumen!$D$6:$D$11</c:f>
              <c:numCache>
                <c:formatCode>General</c:formatCode>
                <c:ptCount val="6"/>
                <c:pt idx="0">
                  <c:v>7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</c:numCache>
            </c:numRef>
          </c:val>
        </c:ser>
        <c:ser>
          <c:idx val="1"/>
          <c:order val="1"/>
          <c:tx>
            <c:strRef>
              <c:f>Resumen!E5</c:f>
              <c:strCache>
                <c:ptCount val="1"/>
                <c:pt idx="0">
                  <c:v>Fuera de plazo</c:v>
                </c:pt>
              </c:strCache>
            </c:strRef>
          </c:tx>
          <c:spPr>
            <a:solidFill>
              <a:srgbClr val="b4581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Resumen!$B$6:$B$11</c:f>
              <c:strCache>
                <c:ptCount val="6"/>
                <c:pt idx="0">
                  <c:v>Reparación</c:v>
                </c:pt>
                <c:pt idx="1">
                  <c:v>Montaje PC</c:v>
                </c:pt>
                <c:pt idx="2">
                  <c:v>Encargo de componente</c:v>
                </c:pt>
                <c:pt idx="3">
                  <c:v>Portátil</c:v>
                </c:pt>
                <c:pt idx="4">
                  <c:v>Streaming</c:v>
                </c:pt>
                <c:pt idx="5">
                  <c:v>Periféricos</c:v>
                </c:pt>
              </c:strCache>
            </c:strRef>
          </c:cat>
          <c:val>
            <c:numRef>
              <c:f>Resumen!$E$6:$E$11</c:f>
              <c:numCache>
                <c:formatCode>General</c:formatCode>
                <c:ptCount val="6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60"/>
        <c:overlap val="0"/>
        <c:axId val="53247970"/>
        <c:axId val="66222833"/>
      </c:barChart>
      <c:catAx>
        <c:axId val="532479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222833"/>
        <c:crosses val="autoZero"/>
        <c:auto val="1"/>
        <c:lblAlgn val="ctr"/>
        <c:lblOffset val="100"/>
        <c:noMultiLvlLbl val="0"/>
      </c:catAx>
      <c:valAx>
        <c:axId val="662228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24797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15</xdr:row>
      <xdr:rowOff>307080</xdr:rowOff>
    </xdr:from>
    <xdr:to>
      <xdr:col>11</xdr:col>
      <xdr:colOff>419040</xdr:colOff>
      <xdr:row>29</xdr:row>
      <xdr:rowOff>69840</xdr:rowOff>
    </xdr:to>
    <xdr:graphicFrame>
      <xdr:nvGraphicFramePr>
        <xdr:cNvPr id="0" name="Chart 1"/>
        <xdr:cNvGraphicFramePr/>
      </xdr:nvGraphicFramePr>
      <xdr:xfrm>
        <a:off x="4793040" y="3371760"/>
        <a:ext cx="485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5"/>
  </cols>
  <sheetData>
    <row r="1" customFormat="false" ht="15" hidden="false" customHeight="false" outlineLevel="0" collapsed="false">
      <c r="Z1" s="1" t="s">
        <v>0</v>
      </c>
    </row>
    <row r="2" customFormat="false" ht="18.55" hidden="false" customHeight="false" outlineLevel="0" collapsed="false">
      <c r="B2" s="2" t="s">
        <v>1</v>
      </c>
      <c r="Z2" s="1" t="s">
        <v>2</v>
      </c>
    </row>
    <row r="3" customFormat="false" ht="15" hidden="false" customHeight="false" outlineLevel="0" collapsed="false">
      <c r="Z3" s="1" t="s">
        <v>3</v>
      </c>
    </row>
    <row r="4" customFormat="false" ht="15" hidden="false" customHeight="false" outlineLevel="0" collapsed="false">
      <c r="B4" s="3" t="s">
        <v>4</v>
      </c>
      <c r="Z4" s="1" t="s">
        <v>5</v>
      </c>
    </row>
    <row r="5" customFormat="false" ht="23.85" hidden="false" customHeight="false" outlineLevel="0" collapsed="false">
      <c r="B5" s="4" t="s">
        <v>6</v>
      </c>
      <c r="Z5" s="1" t="s">
        <v>7</v>
      </c>
    </row>
    <row r="6" customFormat="false" ht="15" hidden="false" customHeight="false" outlineLevel="0" collapsed="false">
      <c r="B6" s="4"/>
      <c r="Z6" s="1" t="s">
        <v>8</v>
      </c>
    </row>
    <row r="7" customFormat="false" ht="15" hidden="false" customHeight="false" outlineLevel="0" collapsed="false">
      <c r="B7" s="3" t="s">
        <v>9</v>
      </c>
    </row>
    <row r="8" customFormat="false" ht="15" hidden="false" customHeight="false" outlineLevel="0" collapsed="false">
      <c r="B8" s="4" t="s">
        <v>10</v>
      </c>
    </row>
    <row r="9" customFormat="false" ht="15" hidden="false" customHeight="false" outlineLevel="0" collapsed="false">
      <c r="B9" s="4" t="s">
        <v>11</v>
      </c>
    </row>
    <row r="10" customFormat="false" ht="15" hidden="false" customHeight="false" outlineLevel="0" collapsed="false">
      <c r="B10" s="4" t="s">
        <v>12</v>
      </c>
    </row>
    <row r="11" customFormat="false" ht="15" hidden="false" customHeight="false" outlineLevel="0" collapsed="false">
      <c r="B11" s="4" t="s">
        <v>13</v>
      </c>
    </row>
    <row r="12" customFormat="false" ht="15" hidden="false" customHeight="false" outlineLevel="0" collapsed="false">
      <c r="B12" s="4" t="s">
        <v>14</v>
      </c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3" t="s">
        <v>15</v>
      </c>
    </row>
    <row r="15" customFormat="false" ht="15" hidden="false" customHeight="false" outlineLevel="0" collapsed="false">
      <c r="B15" s="4" t="s">
        <v>16</v>
      </c>
    </row>
    <row r="16" customFormat="false" ht="15" hidden="false" customHeight="false" outlineLevel="0" collapsed="false">
      <c r="B16" s="4" t="s">
        <v>17</v>
      </c>
    </row>
    <row r="17" customFormat="false" ht="15" hidden="false" customHeight="false" outlineLevel="0" collapsed="false">
      <c r="B17" s="4" t="s">
        <v>18</v>
      </c>
    </row>
    <row r="18" customFormat="false" ht="15" hidden="false" customHeight="false" outlineLevel="0" collapsed="false">
      <c r="B18" s="4" t="s">
        <v>19</v>
      </c>
    </row>
    <row r="19" customFormat="false" ht="23.85" hidden="false" customHeight="false" outlineLevel="0" collapsed="false">
      <c r="B19" s="4" t="s">
        <v>20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3" t="s">
        <v>21</v>
      </c>
    </row>
    <row r="22" customFormat="false" ht="15" hidden="false" customHeight="false" outlineLevel="0" collapsed="false">
      <c r="B22" s="4" t="s">
        <v>22</v>
      </c>
    </row>
    <row r="23" customFormat="false" ht="15" hidden="false" customHeight="false" outlineLevel="0" collapsed="false">
      <c r="B23" s="4"/>
    </row>
    <row r="24" customFormat="false" ht="15" hidden="false" customHeight="false" outlineLevel="0" collapsed="false">
      <c r="B24" s="3" t="s">
        <v>23</v>
      </c>
    </row>
    <row r="25" customFormat="false" ht="15" hidden="false" customHeight="false" outlineLevel="0" collapsed="false">
      <c r="B25" s="4" t="s">
        <v>24</v>
      </c>
    </row>
    <row r="26" customFormat="false" ht="15" hidden="false" customHeight="false" outlineLevel="0" collapsed="false">
      <c r="B26" s="4" t="s">
        <v>25</v>
      </c>
    </row>
    <row r="27" customFormat="false" ht="15" hidden="false" customHeight="false" outlineLevel="0" collapsed="false">
      <c r="B27" s="4" t="s">
        <v>26</v>
      </c>
    </row>
    <row r="28" customFormat="false" ht="15" hidden="false" customHeight="false" outlineLevel="0" collapsed="false">
      <c r="B28" s="4" t="s">
        <v>27</v>
      </c>
    </row>
    <row r="29" customFormat="false" ht="15" hidden="false" customHeight="false" outlineLevel="0" collapsed="false">
      <c r="B29" s="4" t="s">
        <v>28</v>
      </c>
    </row>
    <row r="30" customFormat="false" ht="15" hidden="false" customHeight="false" outlineLevel="0" collapsed="false">
      <c r="B30" s="4" t="s">
        <v>29</v>
      </c>
    </row>
    <row r="31" customFormat="false" ht="15" hidden="false" customHeight="false" outlineLevel="0" collapsed="false">
      <c r="B31" s="4"/>
    </row>
    <row r="32" customFormat="false" ht="22.35" hidden="false" customHeight="false" outlineLevel="0" collapsed="false">
      <c r="B32" s="5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4581E"/>
    <pageSetUpPr fitToPage="true"/>
  </sheetPr>
  <dimension ref="A2:K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4" min="4" style="0" width="26"/>
    <col collapsed="false" customWidth="true" hidden="false" outlineLevel="0" max="6" min="5" style="0" width="18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9"/>
    <col collapsed="false" customWidth="true" hidden="false" outlineLevel="0" max="10" min="10" style="0" width="10"/>
    <col collapsed="false" customWidth="true" hidden="false" outlineLevel="0" max="11" min="11" style="0" width="40"/>
  </cols>
  <sheetData>
    <row r="2" customFormat="false" ht="18.55" hidden="false" customHeight="false" outlineLevel="0" collapsed="false">
      <c r="B2" s="2" t="s">
        <v>31</v>
      </c>
    </row>
    <row r="4" customFormat="false" ht="15" hidden="false" customHeight="false" outlineLevel="0" collapsed="false">
      <c r="B4" s="6" t="s">
        <v>32</v>
      </c>
      <c r="C4" s="7" t="n">
        <v>46290</v>
      </c>
      <c r="D4" s="8" t="s">
        <v>33</v>
      </c>
    </row>
    <row r="6" customFormat="false" ht="15" hidden="false" customHeight="false" outlineLevel="0" collapsed="false">
      <c r="B6" s="9"/>
      <c r="C6" s="9"/>
      <c r="D6" s="9"/>
      <c r="E6" s="9"/>
      <c r="F6" s="9"/>
      <c r="G6" s="9"/>
      <c r="H6" s="9"/>
      <c r="I6" s="9"/>
      <c r="J6" s="9"/>
      <c r="K6" s="9"/>
    </row>
    <row r="7" customFormat="false" ht="24.45" hidden="false" customHeight="false" outlineLevel="0" collapsed="false">
      <c r="B7" s="10" t="n">
        <f aca="false">COUNTA(Pedidos!$A$2:$A$301)</f>
        <v>100</v>
      </c>
      <c r="D7" s="10" t="n">
        <f aca="false">COUNTIF(Pedidos!$L$2:$L$301,"Sí")</f>
        <v>19</v>
      </c>
      <c r="F7" s="10" t="n">
        <f aca="false">COUNTIF(Pedidos!$M$2:$M$301,"Fuera de plazo")</f>
        <v>7</v>
      </c>
      <c r="I7" s="11" t="n">
        <f aca="false">SUM(Pedidos!$R$2:$R$301)</f>
        <v>3809.2</v>
      </c>
    </row>
    <row r="8" customFormat="false" ht="15" hidden="false" customHeight="false" outlineLevel="0" collapsed="false">
      <c r="B8" s="12" t="s">
        <v>34</v>
      </c>
      <c r="D8" s="12" t="s">
        <v>35</v>
      </c>
      <c r="F8" s="12" t="s">
        <v>36</v>
      </c>
      <c r="I8" s="12" t="s">
        <v>37</v>
      </c>
    </row>
    <row r="10" customFormat="false" ht="15" hidden="false" customHeight="false" outlineLevel="0" collapsed="false">
      <c r="B10" s="13" t="s">
        <v>38</v>
      </c>
      <c r="C10" s="13"/>
      <c r="D10" s="13"/>
      <c r="E10" s="14" t="n">
        <f aca="false">COUNTIF(Pedidos!$O$2:$O$301,"Tienda o proveedor")</f>
        <v>2</v>
      </c>
    </row>
    <row r="11" customFormat="false" ht="15" hidden="false" customHeight="false" outlineLevel="0" collapsed="false">
      <c r="B11" s="13" t="s">
        <v>39</v>
      </c>
      <c r="C11" s="13"/>
      <c r="D11" s="13"/>
      <c r="E11" s="14" t="n">
        <f aca="false">COUNTIF(Pedidos!$O$2:$O$301,"Cliente (no recoge)")</f>
        <v>5</v>
      </c>
    </row>
    <row r="12" customFormat="false" ht="15" hidden="false" customHeight="false" outlineLevel="0" collapsed="false">
      <c r="B12" s="13" t="s">
        <v>40</v>
      </c>
      <c r="C12" s="13"/>
      <c r="D12" s="13"/>
      <c r="E12" s="14" t="n">
        <f aca="false">COUNTIF(Pedidos!$M$2:$M$301,"Dato pendiente")</f>
        <v>2</v>
      </c>
    </row>
    <row r="13" customFormat="false" ht="15" hidden="false" customHeight="false" outlineLevel="0" collapsed="false">
      <c r="B13" s="13" t="s">
        <v>41</v>
      </c>
      <c r="C13" s="13"/>
      <c r="D13" s="13"/>
      <c r="E13" s="14" t="n">
        <f aca="false">COUNTIF(Incidencias!$F$2:$F$151,"Abierta")</f>
        <v>7</v>
      </c>
    </row>
    <row r="14" customFormat="false" ht="15" hidden="false" customHeight="false" outlineLevel="0" collapsed="false">
      <c r="B14" s="13" t="s">
        <v>42</v>
      </c>
      <c r="C14" s="13"/>
      <c r="D14" s="13"/>
      <c r="E14" s="15" t="n">
        <f aca="false">SUMIFS(Pedidos!$R$2:$R$301,Pedidos!$J$2:$J$301,"Listo para recoger")</f>
        <v>1951.9</v>
      </c>
    </row>
    <row r="15" customFormat="false" ht="15" hidden="false" customHeight="false" outlineLevel="0" collapsed="false">
      <c r="B15" s="13" t="s">
        <v>43</v>
      </c>
      <c r="C15" s="13"/>
      <c r="D15" s="13"/>
      <c r="E15" s="16" t="n">
        <f aca="false">IFERROR(COUNTIF(Pedidos!$S$2:$S$301,"Sí")/(COUNTIF(Pedidos!$S$2:$S$301,"Sí")+COUNTIF(Pedidos!$S$2:$S$301,"No")),"")</f>
        <v>0.506666666666667</v>
      </c>
    </row>
    <row r="16" customFormat="false" ht="15" hidden="false" customHeight="false" outlineLevel="0" collapsed="false">
      <c r="B16" s="13" t="s">
        <v>44</v>
      </c>
      <c r="C16" s="13"/>
      <c r="D16" s="13"/>
      <c r="E16" s="14" t="n">
        <f aca="false">COUNTIF(Pedidos!$T$2:$T$301,"?*")+COUNTIF(Incidencias!$K$2:$K$151,"?*")</f>
        <v>5</v>
      </c>
    </row>
    <row r="18" customFormat="false" ht="15" hidden="false" customHeight="false" outlineLevel="0" collapsed="false">
      <c r="B18" s="17" t="s">
        <v>45</v>
      </c>
    </row>
    <row r="19" customFormat="false" ht="15" hidden="false" customHeight="false" outlineLevel="0" collapsed="false">
      <c r="B19" s="8" t="s">
        <v>46</v>
      </c>
    </row>
    <row r="20" customFormat="false" ht="21.75" hidden="false" customHeight="true" outlineLevel="0" collapsed="false">
      <c r="B20" s="18" t="s">
        <v>47</v>
      </c>
      <c r="C20" s="18" t="s">
        <v>48</v>
      </c>
      <c r="D20" s="18" t="s">
        <v>49</v>
      </c>
      <c r="E20" s="18" t="s">
        <v>50</v>
      </c>
      <c r="F20" s="18" t="s">
        <v>51</v>
      </c>
      <c r="G20" s="18" t="s">
        <v>52</v>
      </c>
      <c r="H20" s="18" t="s">
        <v>53</v>
      </c>
      <c r="I20" s="18" t="s">
        <v>54</v>
      </c>
      <c r="J20" s="18" t="s">
        <v>0</v>
      </c>
      <c r="K20" s="18" t="s">
        <v>55</v>
      </c>
    </row>
    <row r="21" customFormat="false" ht="15" hidden="false" customHeight="false" outlineLevel="0" collapsed="false">
      <c r="A21" s="1" t="n">
        <f aca="false">IFERROR(MATCH(LARGE(Pedidos!$V$2:$V$301,1),Pedidos!$V$2:$V$301,0),"")</f>
        <v>91</v>
      </c>
      <c r="B21" s="13" t="str">
        <f aca="false">IF($A21="","",INDEX(Pedidos!$A$2:$A$301,$A21))</f>
        <v>P-0502</v>
      </c>
      <c r="C21" s="19" t="str">
        <f aca="false">IF($A21="","",IF(INDEX(Pedidos!$F$2:$F$301,$A21)="","—",INDEX(Pedidos!$F$2:$F$301,$A21)))</f>
        <v>—</v>
      </c>
      <c r="D21" s="13" t="str">
        <f aca="false">IF($A21="","",INDEX(Pedidos!$K$2:$K$301,$A21))</f>
        <v>Andrea Castillo Pérez</v>
      </c>
      <c r="E21" s="13" t="str">
        <f aca="false">IF($A21="","",INDEX(Pedidos!$D$2:$D$301,$A21))</f>
        <v>Reparación</v>
      </c>
      <c r="F21" s="13" t="str">
        <f aca="false">IF($A21="","",INDEX(Pedidos!$J$2:$J$301,$A21))</f>
        <v>En taller</v>
      </c>
      <c r="G21" s="20" t="str">
        <f aca="false">IF($A21="","",IF(INDEX(Pedidos!$M$2:$M$301,$A21)="Dato pendiente","sin fecha",INDEX(Pedidos!$N$2:$N$301,$A21)))</f>
        <v>sin fecha</v>
      </c>
      <c r="H21" s="20" t="n">
        <f aca="false">IF($A21="","",INDEX(Pedidos!$Q$2:$Q$301,$A21))</f>
        <v>0</v>
      </c>
      <c r="I21" s="13" t="str">
        <f aca="false">IF($A21="","",INDEX(Pedidos!$O$2:$O$301,$A21))</f>
        <v/>
      </c>
      <c r="J21" s="21" t="n">
        <f aca="false">IF($A21="","",INDEX(Pedidos!$R$2:$R$301,$A21))</f>
        <v>59.9</v>
      </c>
      <c r="K21" s="13" t="str">
        <f aca="false">IF($A21="","",INDEX(Pedidos!$U$2:$U$301,$A21))</f>
        <v>Poner fecha prevista y avisar al cliente</v>
      </c>
    </row>
    <row r="22" customFormat="false" ht="15" hidden="false" customHeight="false" outlineLevel="0" collapsed="false">
      <c r="A22" s="1" t="n">
        <f aca="false">IFERROR(MATCH(LARGE(Pedidos!$V$2:$V$301,2),Pedidos!$V$2:$V$301,0),"")</f>
        <v>90</v>
      </c>
      <c r="B22" s="13" t="str">
        <f aca="false">IF($A22="","",INDEX(Pedidos!$A$2:$A$301,$A22))</f>
        <v>P-0501</v>
      </c>
      <c r="C22" s="19" t="str">
        <f aca="false">IF($A22="","",IF(INDEX(Pedidos!$F$2:$F$301,$A22)="","—",INDEX(Pedidos!$F$2:$F$301,$A22)))</f>
        <v>—</v>
      </c>
      <c r="D22" s="13" t="str">
        <f aca="false">IF($A22="","",INDEX(Pedidos!$K$2:$K$301,$A22))</f>
        <v>Academia Nevada Idiomas</v>
      </c>
      <c r="E22" s="13" t="str">
        <f aca="false">IF($A22="","",INDEX(Pedidos!$D$2:$D$301,$A22))</f>
        <v>Reparación</v>
      </c>
      <c r="F22" s="13" t="str">
        <f aca="false">IF($A22="","",INDEX(Pedidos!$J$2:$J$301,$A22))</f>
        <v>En taller</v>
      </c>
      <c r="G22" s="20" t="str">
        <f aca="false">IF($A22="","",IF(INDEX(Pedidos!$M$2:$M$301,$A22)="Dato pendiente","sin fecha",INDEX(Pedidos!$N$2:$N$301,$A22)))</f>
        <v>sin fecha</v>
      </c>
      <c r="H22" s="20" t="n">
        <f aca="false">IF($A22="","",INDEX(Pedidos!$Q$2:$Q$301,$A22))</f>
        <v>0</v>
      </c>
      <c r="I22" s="13" t="str">
        <f aca="false">IF($A22="","",INDEX(Pedidos!$O$2:$O$301,$A22))</f>
        <v/>
      </c>
      <c r="J22" s="21" t="n">
        <f aca="false">IF($A22="","",INDEX(Pedidos!$R$2:$R$301,$A22))</f>
        <v>49.9</v>
      </c>
      <c r="K22" s="13" t="str">
        <f aca="false">IF($A22="","",INDEX(Pedidos!$U$2:$U$301,$A22))</f>
        <v>Poner fecha prevista y avisar al cliente</v>
      </c>
    </row>
    <row r="23" customFormat="false" ht="15" hidden="false" customHeight="false" outlineLevel="0" collapsed="false">
      <c r="A23" s="1" t="n">
        <f aca="false">IFERROR(MATCH(LARGE(Pedidos!$V$2:$V$301,3),Pedidos!$V$2:$V$301,0),"")</f>
        <v>12</v>
      </c>
      <c r="B23" s="13" t="str">
        <f aca="false">IF($A23="","",INDEX(Pedidos!$A$2:$A$301,$A23))</f>
        <v>P-0423</v>
      </c>
      <c r="C23" s="19" t="n">
        <f aca="false">IF($A23="","",IF(INDEX(Pedidos!$F$2:$F$301,$A23)="","—",INDEX(Pedidos!$F$2:$F$301,$A23)))</f>
        <v>46188</v>
      </c>
      <c r="D23" s="13" t="str">
        <f aca="false">IF($A23="","",INDEX(Pedidos!$K$2:$K$301,$A23))</f>
        <v>Manuel Cabrera Vidal</v>
      </c>
      <c r="E23" s="13" t="str">
        <f aca="false">IF($A23="","",INDEX(Pedidos!$D$2:$D$301,$A23))</f>
        <v>Reparación</v>
      </c>
      <c r="F23" s="13" t="str">
        <f aca="false">IF($A23="","",INDEX(Pedidos!$J$2:$J$301,$A23))</f>
        <v>Listo para recoger</v>
      </c>
      <c r="G23" s="20" t="n">
        <f aca="false">IF($A23="","",IF(INDEX(Pedidos!$M$2:$M$301,$A23)="Dato pendiente","sin fecha",INDEX(Pedidos!$N$2:$N$301,$A23)))</f>
        <v>102</v>
      </c>
      <c r="H23" s="20" t="n">
        <f aca="false">IF($A23="","",INDEX(Pedidos!$Q$2:$Q$301,$A23))</f>
        <v>1</v>
      </c>
      <c r="I23" s="13" t="str">
        <f aca="false">IF($A23="","",INDEX(Pedidos!$O$2:$O$301,$A23))</f>
        <v>Cliente (no recoge)</v>
      </c>
      <c r="J23" s="21" t="n">
        <f aca="false">IF($A23="","",INDEX(Pedidos!$R$2:$R$301,$A23))</f>
        <v>115</v>
      </c>
      <c r="K23" s="13" t="str">
        <f aca="false">IF($A23="","",INDEX(Pedidos!$U$2:$U$301,$A23))</f>
        <v>Recordar la recogida al cliente</v>
      </c>
    </row>
    <row r="24" customFormat="false" ht="15" hidden="false" customHeight="false" outlineLevel="0" collapsed="false">
      <c r="A24" s="1" t="n">
        <f aca="false">IFERROR(MATCH(LARGE(Pedidos!$V$2:$V$301,4),Pedidos!$V$2:$V$301,0),"")</f>
        <v>38</v>
      </c>
      <c r="B24" s="13" t="str">
        <f aca="false">IF($A24="","",INDEX(Pedidos!$A$2:$A$301,$A24))</f>
        <v>P-0449</v>
      </c>
      <c r="C24" s="19" t="n">
        <f aca="false">IF($A24="","",IF(INDEX(Pedidos!$F$2:$F$301,$A24)="","—",INDEX(Pedidos!$F$2:$F$301,$A24)))</f>
        <v>46233</v>
      </c>
      <c r="D24" s="13" t="str">
        <f aca="false">IF($A24="","",INDEX(Pedidos!$K$2:$K$301,$A24))</f>
        <v>Carmen López Jiménez</v>
      </c>
      <c r="E24" s="13" t="str">
        <f aca="false">IF($A24="","",INDEX(Pedidos!$D$2:$D$301,$A24))</f>
        <v>Reparación</v>
      </c>
      <c r="F24" s="13" t="str">
        <f aca="false">IF($A24="","",INDEX(Pedidos!$J$2:$J$301,$A24))</f>
        <v>Listo para recoger</v>
      </c>
      <c r="G24" s="20" t="n">
        <f aca="false">IF($A24="","",IF(INDEX(Pedidos!$M$2:$M$301,$A24)="Dato pendiente","sin fecha",INDEX(Pedidos!$N$2:$N$301,$A24)))</f>
        <v>57</v>
      </c>
      <c r="H24" s="20" t="n">
        <f aca="false">IF($A24="","",INDEX(Pedidos!$Q$2:$Q$301,$A24))</f>
        <v>1</v>
      </c>
      <c r="I24" s="13" t="str">
        <f aca="false">IF($A24="","",INDEX(Pedidos!$O$2:$O$301,$A24))</f>
        <v>Cliente (no recoge)</v>
      </c>
      <c r="J24" s="21" t="n">
        <f aca="false">IF($A24="","",INDEX(Pedidos!$R$2:$R$301,$A24))</f>
        <v>79</v>
      </c>
      <c r="K24" s="13" t="str">
        <f aca="false">IF($A24="","",INDEX(Pedidos!$U$2:$U$301,$A24))</f>
        <v>Recordar la recogida al cliente</v>
      </c>
    </row>
    <row r="25" customFormat="false" ht="15" hidden="false" customHeight="false" outlineLevel="0" collapsed="false">
      <c r="A25" s="1" t="n">
        <f aca="false">IFERROR(MATCH(LARGE(Pedidos!$V$2:$V$301,5),Pedidos!$V$2:$V$301,0),"")</f>
        <v>40</v>
      </c>
      <c r="B25" s="13" t="str">
        <f aca="false">IF($A25="","",INDEX(Pedidos!$A$2:$A$301,$A25))</f>
        <v>P-0451</v>
      </c>
      <c r="C25" s="19" t="n">
        <f aca="false">IF($A25="","",IF(INDEX(Pedidos!$F$2:$F$301,$A25)="","—",INDEX(Pedidos!$F$2:$F$301,$A25)))</f>
        <v>46242</v>
      </c>
      <c r="D25" s="13" t="str">
        <f aca="false">IF($A25="","",INDEX(Pedidos!$K$2:$K$301,$A25))</f>
        <v>Álvaro Prieto Lozano</v>
      </c>
      <c r="E25" s="13" t="str">
        <f aca="false">IF($A25="","",INDEX(Pedidos!$D$2:$D$301,$A25))</f>
        <v>Portátil</v>
      </c>
      <c r="F25" s="13" t="str">
        <f aca="false">IF($A25="","",INDEX(Pedidos!$J$2:$J$301,$A25))</f>
        <v>Listo para recoger</v>
      </c>
      <c r="G25" s="20" t="n">
        <f aca="false">IF($A25="","",IF(INDEX(Pedidos!$M$2:$M$301,$A25)="Dato pendiente","sin fecha",INDEX(Pedidos!$N$2:$N$301,$A25)))</f>
        <v>48</v>
      </c>
      <c r="H25" s="20" t="n">
        <f aca="false">IF($A25="","",INDEX(Pedidos!$Q$2:$Q$301,$A25))</f>
        <v>0</v>
      </c>
      <c r="I25" s="13" t="str">
        <f aca="false">IF($A25="","",INDEX(Pedidos!$O$2:$O$301,$A25))</f>
        <v>Cliente (no recoge)</v>
      </c>
      <c r="J25" s="21" t="n">
        <f aca="false">IF($A25="","",INDEX(Pedidos!$R$2:$R$301,$A25))</f>
        <v>899</v>
      </c>
      <c r="K25" s="13" t="str">
        <f aca="false">IF($A25="","",INDEX(Pedidos!$U$2:$U$301,$A25))</f>
        <v>Recordar la recogida al cliente</v>
      </c>
    </row>
    <row r="26" customFormat="false" ht="15" hidden="false" customHeight="false" outlineLevel="0" collapsed="false">
      <c r="A26" s="1" t="n">
        <f aca="false">IFERROR(MATCH(LARGE(Pedidos!$V$2:$V$301,6),Pedidos!$V$2:$V$301,0),"")</f>
        <v>77</v>
      </c>
      <c r="B26" s="13" t="str">
        <f aca="false">IF($A26="","",INDEX(Pedidos!$A$2:$A$301,$A26))</f>
        <v>P-0488</v>
      </c>
      <c r="C26" s="19" t="n">
        <f aca="false">IF($A26="","",IF(INDEX(Pedidos!$F$2:$F$301,$A26)="","—",INDEX(Pedidos!$F$2:$F$301,$A26)))</f>
        <v>46281</v>
      </c>
      <c r="D26" s="13" t="str">
        <f aca="false">IF($A26="","",INDEX(Pedidos!$K$2:$K$301,$A26))</f>
        <v>Gestoría Ruiz y Molina</v>
      </c>
      <c r="E26" s="13" t="str">
        <f aca="false">IF($A26="","",INDEX(Pedidos!$D$2:$D$301,$A26))</f>
        <v>Reparación</v>
      </c>
      <c r="F26" s="13" t="str">
        <f aca="false">IF($A26="","",INDEX(Pedidos!$J$2:$J$301,$A26))</f>
        <v>Listo para recoger</v>
      </c>
      <c r="G26" s="20" t="n">
        <f aca="false">IF($A26="","",IF(INDEX(Pedidos!$M$2:$M$301,$A26)="Dato pendiente","sin fecha",INDEX(Pedidos!$N$2:$N$301,$A26)))</f>
        <v>9</v>
      </c>
      <c r="H26" s="20" t="n">
        <f aca="false">IF($A26="","",INDEX(Pedidos!$Q$2:$Q$301,$A26))</f>
        <v>0</v>
      </c>
      <c r="I26" s="13" t="str">
        <f aca="false">IF($A26="","",INDEX(Pedidos!$O$2:$O$301,$A26))</f>
        <v>Cliente (no recoge)</v>
      </c>
      <c r="J26" s="21" t="n">
        <f aca="false">IF($A26="","",INDEX(Pedidos!$R$2:$R$301,$A26))</f>
        <v>59.9</v>
      </c>
      <c r="K26" s="13" t="str">
        <f aca="false">IF($A26="","",INDEX(Pedidos!$U$2:$U$301,$A26))</f>
        <v>Recordar la recogida al cliente</v>
      </c>
    </row>
    <row r="27" customFormat="false" ht="15" hidden="false" customHeight="false" outlineLevel="0" collapsed="false">
      <c r="A27" s="1" t="n">
        <f aca="false">IFERROR(MATCH(LARGE(Pedidos!$V$2:$V$301,7),Pedidos!$V$2:$V$301,0),"")</f>
        <v>79</v>
      </c>
      <c r="B27" s="13" t="str">
        <f aca="false">IF($A27="","",INDEX(Pedidos!$A$2:$A$301,$A27))</f>
        <v>P-0490</v>
      </c>
      <c r="C27" s="19" t="n">
        <f aca="false">IF($A27="","",IF(INDEX(Pedidos!$F$2:$F$301,$A27)="","—",INDEX(Pedidos!$F$2:$F$301,$A27)))</f>
        <v>46282</v>
      </c>
      <c r="D27" s="13" t="str">
        <f aca="false">IF($A27="","",INDEX(Pedidos!$K$2:$K$301,$A27))</f>
        <v>Hugo Martín Serrano</v>
      </c>
      <c r="E27" s="13" t="str">
        <f aca="false">IF($A27="","",INDEX(Pedidos!$D$2:$D$301,$A27))</f>
        <v>Montaje PC</v>
      </c>
      <c r="F27" s="13" t="str">
        <f aca="false">IF($A27="","",INDEX(Pedidos!$J$2:$J$301,$A27))</f>
        <v>Esperando pieza</v>
      </c>
      <c r="G27" s="20" t="n">
        <f aca="false">IF($A27="","",IF(INDEX(Pedidos!$M$2:$M$301,$A27)="Dato pendiente","sin fecha",INDEX(Pedidos!$N$2:$N$301,$A27)))</f>
        <v>8</v>
      </c>
      <c r="H27" s="20" t="n">
        <f aca="false">IF($A27="","",INDEX(Pedidos!$Q$2:$Q$301,$A27))</f>
        <v>2</v>
      </c>
      <c r="I27" s="13" t="str">
        <f aca="false">IF($A27="","",INDEX(Pedidos!$O$2:$O$301,$A27))</f>
        <v>Tienda o proveedor</v>
      </c>
      <c r="J27" s="21" t="n">
        <f aca="false">IF($A27="","",INDEX(Pedidos!$R$2:$R$301,$A27))</f>
        <v>638.9</v>
      </c>
      <c r="K27" s="13" t="str">
        <f aca="false">IF($A27="","",INDEX(Pedidos!$U$2:$U$301,$A27))</f>
        <v>Pedir fecha al proveedor y avisar al cliente</v>
      </c>
    </row>
    <row r="28" customFormat="false" ht="15" hidden="false" customHeight="false" outlineLevel="0" collapsed="false">
      <c r="A28" s="1" t="n">
        <f aca="false">IFERROR(MATCH(LARGE(Pedidos!$V$2:$V$301,8),Pedidos!$V$2:$V$301,0),"")</f>
        <v>87</v>
      </c>
      <c r="B28" s="13" t="str">
        <f aca="false">IF($A28="","",INDEX(Pedidos!$A$2:$A$301,$A28))</f>
        <v>P-0498</v>
      </c>
      <c r="C28" s="19" t="n">
        <f aca="false">IF($A28="","",IF(INDEX(Pedidos!$F$2:$F$301,$A28)="","—",INDEX(Pedidos!$F$2:$F$301,$A28)))</f>
        <v>46286</v>
      </c>
      <c r="D28" s="13" t="str">
        <f aca="false">IF($A28="","",INDEX(Pedidos!$K$2:$K$301,$A28))</f>
        <v>Marina Torres Blanco</v>
      </c>
      <c r="E28" s="13" t="str">
        <f aca="false">IF($A28="","",INDEX(Pedidos!$D$2:$D$301,$A28))</f>
        <v>Montaje PC</v>
      </c>
      <c r="F28" s="13" t="str">
        <f aca="false">IF($A28="","",INDEX(Pedidos!$J$2:$J$301,$A28))</f>
        <v>Listo para recoger</v>
      </c>
      <c r="G28" s="20" t="n">
        <f aca="false">IF($A28="","",IF(INDEX(Pedidos!$M$2:$M$301,$A28)="Dato pendiente","sin fecha",INDEX(Pedidos!$N$2:$N$301,$A28)))</f>
        <v>4</v>
      </c>
      <c r="H28" s="20" t="n">
        <f aca="false">IF($A28="","",INDEX(Pedidos!$Q$2:$Q$301,$A28))</f>
        <v>0</v>
      </c>
      <c r="I28" s="13" t="str">
        <f aca="false">IF($A28="","",INDEX(Pedidos!$O$2:$O$301,$A28))</f>
        <v>Cliente (no recoge)</v>
      </c>
      <c r="J28" s="21" t="n">
        <f aca="false">IF($A28="","",INDEX(Pedidos!$R$2:$R$301,$A28))</f>
        <v>799</v>
      </c>
      <c r="K28" s="13" t="str">
        <f aca="false">IF($A28="","",INDEX(Pedidos!$U$2:$U$301,$A28))</f>
        <v>Recordar la recogida al cliente</v>
      </c>
    </row>
    <row r="29" customFormat="false" ht="15" hidden="false" customHeight="false" outlineLevel="0" collapsed="false">
      <c r="A29" s="1" t="n">
        <f aca="false">IFERROR(MATCH(LARGE(Pedidos!$V$2:$V$301,9),Pedidos!$V$2:$V$301,0),"")</f>
        <v>88</v>
      </c>
      <c r="B29" s="13" t="str">
        <f aca="false">IF($A29="","",INDEX(Pedidos!$A$2:$A$301,$A29))</f>
        <v>P-0499</v>
      </c>
      <c r="C29" s="19" t="n">
        <f aca="false">IF($A29="","",IF(INDEX(Pedidos!$F$2:$F$301,$A29)="","—",INDEX(Pedidos!$F$2:$F$301,$A29)))</f>
        <v>46288</v>
      </c>
      <c r="D29" s="13" t="str">
        <f aca="false">IF($A29="","",INDEX(Pedidos!$K$2:$K$301,$A29))</f>
        <v>Academia Nevada Idiomas</v>
      </c>
      <c r="E29" s="13" t="str">
        <f aca="false">IF($A29="","",INDEX(Pedidos!$D$2:$D$301,$A29))</f>
        <v>Reparación</v>
      </c>
      <c r="F29" s="13" t="str">
        <f aca="false">IF($A29="","",INDEX(Pedidos!$J$2:$J$301,$A29))</f>
        <v>Esperando pieza</v>
      </c>
      <c r="G29" s="20" t="n">
        <f aca="false">IF($A29="","",IF(INDEX(Pedidos!$M$2:$M$301,$A29)="Dato pendiente","sin fecha",INDEX(Pedidos!$N$2:$N$301,$A29)))</f>
        <v>2</v>
      </c>
      <c r="H29" s="20" t="n">
        <f aca="false">IF($A29="","",INDEX(Pedidos!$Q$2:$Q$301,$A29))</f>
        <v>0</v>
      </c>
      <c r="I29" s="13" t="str">
        <f aca="false">IF($A29="","",INDEX(Pedidos!$O$2:$O$301,$A29))</f>
        <v>Tienda o proveedor</v>
      </c>
      <c r="J29" s="21" t="n">
        <f aca="false">IF($A29="","",INDEX(Pedidos!$R$2:$R$301,$A29))</f>
        <v>129</v>
      </c>
      <c r="K29" s="13" t="str">
        <f aca="false">IF($A29="","",INDEX(Pedidos!$U$2:$U$301,$A29))</f>
        <v>Pedir fecha al proveedor y avisar al cliente</v>
      </c>
    </row>
    <row r="30" customFormat="false" ht="15" hidden="false" customHeight="false" outlineLevel="0" collapsed="false">
      <c r="A30" s="1" t="str">
        <f aca="false">IFERROR(MATCH(LARGE(Pedidos!$V$2:$V$301,10),Pedidos!$V$2:$V$301,0),"")</f>
        <v/>
      </c>
      <c r="B30" s="13" t="str">
        <f aca="false">IF($A30="","",INDEX(Pedidos!$A$2:$A$301,$A30))</f>
        <v/>
      </c>
      <c r="C30" s="19" t="str">
        <f aca="false">IF($A30="","",IF(INDEX(Pedidos!$F$2:$F$301,$A30)="","—",INDEX(Pedidos!$F$2:$F$301,$A30)))</f>
        <v/>
      </c>
      <c r="D30" s="13" t="str">
        <f aca="false">IF($A30="","",INDEX(Pedidos!$K$2:$K$301,$A30))</f>
        <v/>
      </c>
      <c r="E30" s="13" t="str">
        <f aca="false">IF($A30="","",INDEX(Pedidos!$D$2:$D$301,$A30))</f>
        <v/>
      </c>
      <c r="F30" s="13" t="str">
        <f aca="false">IF($A30="","",INDEX(Pedidos!$J$2:$J$301,$A30))</f>
        <v/>
      </c>
      <c r="G30" s="20" t="str">
        <f aca="false">IF($A30="","",IF(INDEX(Pedidos!$M$2:$M$301,$A30)="Dato pendiente","sin fecha",INDEX(Pedidos!$N$2:$N$301,$A30)))</f>
        <v/>
      </c>
      <c r="H30" s="20" t="str">
        <f aca="false">IF($A30="","",INDEX(Pedidos!$Q$2:$Q$301,$A30))</f>
        <v/>
      </c>
      <c r="I30" s="13" t="str">
        <f aca="false">IF($A30="","",INDEX(Pedidos!$O$2:$O$301,$A30))</f>
        <v/>
      </c>
      <c r="J30" s="21" t="str">
        <f aca="false">IF($A30="","",INDEX(Pedidos!$R$2:$R$301,$A30))</f>
        <v/>
      </c>
      <c r="K30" s="13" t="str">
        <f aca="false">IF($A30="","",INDEX(Pedidos!$U$2:$U$301,$A30))</f>
        <v/>
      </c>
    </row>
    <row r="31" customFormat="false" ht="15" hidden="false" customHeight="false" outlineLevel="0" collapsed="false">
      <c r="A31" s="1" t="str">
        <f aca="false">IFERROR(MATCH(LARGE(Pedidos!$V$2:$V$301,11),Pedidos!$V$2:$V$301,0),"")</f>
        <v/>
      </c>
      <c r="B31" s="13" t="str">
        <f aca="false">IF($A31="","",INDEX(Pedidos!$A$2:$A$301,$A31))</f>
        <v/>
      </c>
      <c r="C31" s="19" t="str">
        <f aca="false">IF($A31="","",IF(INDEX(Pedidos!$F$2:$F$301,$A31)="","—",INDEX(Pedidos!$F$2:$F$301,$A31)))</f>
        <v/>
      </c>
      <c r="D31" s="13" t="str">
        <f aca="false">IF($A31="","",INDEX(Pedidos!$K$2:$K$301,$A31))</f>
        <v/>
      </c>
      <c r="E31" s="13" t="str">
        <f aca="false">IF($A31="","",INDEX(Pedidos!$D$2:$D$301,$A31))</f>
        <v/>
      </c>
      <c r="F31" s="13" t="str">
        <f aca="false">IF($A31="","",INDEX(Pedidos!$J$2:$J$301,$A31))</f>
        <v/>
      </c>
      <c r="G31" s="20" t="str">
        <f aca="false">IF($A31="","",IF(INDEX(Pedidos!$M$2:$M$301,$A31)="Dato pendiente","sin fecha",INDEX(Pedidos!$N$2:$N$301,$A31)))</f>
        <v/>
      </c>
      <c r="H31" s="20" t="str">
        <f aca="false">IF($A31="","",INDEX(Pedidos!$Q$2:$Q$301,$A31))</f>
        <v/>
      </c>
      <c r="I31" s="13" t="str">
        <f aca="false">IF($A31="","",INDEX(Pedidos!$O$2:$O$301,$A31))</f>
        <v/>
      </c>
      <c r="J31" s="21" t="str">
        <f aca="false">IF($A31="","",INDEX(Pedidos!$R$2:$R$301,$A31))</f>
        <v/>
      </c>
      <c r="K31" s="13" t="str">
        <f aca="false">IF($A31="","",INDEX(Pedidos!$U$2:$U$301,$A31))</f>
        <v/>
      </c>
    </row>
    <row r="32" customFormat="false" ht="15" hidden="false" customHeight="false" outlineLevel="0" collapsed="false">
      <c r="A32" s="1" t="str">
        <f aca="false">IFERROR(MATCH(LARGE(Pedidos!$V$2:$V$301,12),Pedidos!$V$2:$V$301,0),"")</f>
        <v/>
      </c>
      <c r="B32" s="13" t="str">
        <f aca="false">IF($A32="","",INDEX(Pedidos!$A$2:$A$301,$A32))</f>
        <v/>
      </c>
      <c r="C32" s="19" t="str">
        <f aca="false">IF($A32="","",IF(INDEX(Pedidos!$F$2:$F$301,$A32)="","—",INDEX(Pedidos!$F$2:$F$301,$A32)))</f>
        <v/>
      </c>
      <c r="D32" s="13" t="str">
        <f aca="false">IF($A32="","",INDEX(Pedidos!$K$2:$K$301,$A32))</f>
        <v/>
      </c>
      <c r="E32" s="13" t="str">
        <f aca="false">IF($A32="","",INDEX(Pedidos!$D$2:$D$301,$A32))</f>
        <v/>
      </c>
      <c r="F32" s="13" t="str">
        <f aca="false">IF($A32="","",INDEX(Pedidos!$J$2:$J$301,$A32))</f>
        <v/>
      </c>
      <c r="G32" s="20" t="str">
        <f aca="false">IF($A32="","",IF(INDEX(Pedidos!$M$2:$M$301,$A32)="Dato pendiente","sin fecha",INDEX(Pedidos!$N$2:$N$301,$A32)))</f>
        <v/>
      </c>
      <c r="H32" s="20" t="str">
        <f aca="false">IF($A32="","",INDEX(Pedidos!$Q$2:$Q$301,$A32))</f>
        <v/>
      </c>
      <c r="I32" s="13" t="str">
        <f aca="false">IF($A32="","",INDEX(Pedidos!$O$2:$O$301,$A32))</f>
        <v/>
      </c>
      <c r="J32" s="21" t="str">
        <f aca="false">IF($A32="","",INDEX(Pedidos!$R$2:$R$301,$A32))</f>
        <v/>
      </c>
      <c r="K32" s="13" t="str">
        <f aca="false">IF($A32="","",INDEX(Pedidos!$U$2:$U$301,$A32))</f>
        <v/>
      </c>
    </row>
    <row r="33" customFormat="false" ht="15" hidden="false" customHeight="false" outlineLevel="0" collapsed="false">
      <c r="A33" s="1" t="str">
        <f aca="false">IFERROR(MATCH(LARGE(Pedidos!$V$2:$V$301,13),Pedidos!$V$2:$V$301,0),"")</f>
        <v/>
      </c>
      <c r="B33" s="13" t="str">
        <f aca="false">IF($A33="","",INDEX(Pedidos!$A$2:$A$301,$A33))</f>
        <v/>
      </c>
      <c r="C33" s="19" t="str">
        <f aca="false">IF($A33="","",IF(INDEX(Pedidos!$F$2:$F$301,$A33)="","—",INDEX(Pedidos!$F$2:$F$301,$A33)))</f>
        <v/>
      </c>
      <c r="D33" s="13" t="str">
        <f aca="false">IF($A33="","",INDEX(Pedidos!$K$2:$K$301,$A33))</f>
        <v/>
      </c>
      <c r="E33" s="13" t="str">
        <f aca="false">IF($A33="","",INDEX(Pedidos!$D$2:$D$301,$A33))</f>
        <v/>
      </c>
      <c r="F33" s="13" t="str">
        <f aca="false">IF($A33="","",INDEX(Pedidos!$J$2:$J$301,$A33))</f>
        <v/>
      </c>
      <c r="G33" s="20" t="str">
        <f aca="false">IF($A33="","",IF(INDEX(Pedidos!$M$2:$M$301,$A33)="Dato pendiente","sin fecha",INDEX(Pedidos!$N$2:$N$301,$A33)))</f>
        <v/>
      </c>
      <c r="H33" s="20" t="str">
        <f aca="false">IF($A33="","",INDEX(Pedidos!$Q$2:$Q$301,$A33))</f>
        <v/>
      </c>
      <c r="I33" s="13" t="str">
        <f aca="false">IF($A33="","",INDEX(Pedidos!$O$2:$O$301,$A33))</f>
        <v/>
      </c>
      <c r="J33" s="21" t="str">
        <f aca="false">IF($A33="","",INDEX(Pedidos!$R$2:$R$301,$A33))</f>
        <v/>
      </c>
      <c r="K33" s="13" t="str">
        <f aca="false">IF($A33="","",INDEX(Pedidos!$U$2:$U$301,$A33))</f>
        <v/>
      </c>
    </row>
    <row r="34" customFormat="false" ht="15" hidden="false" customHeight="false" outlineLevel="0" collapsed="false">
      <c r="A34" s="1" t="str">
        <f aca="false">IFERROR(MATCH(LARGE(Pedidos!$V$2:$V$301,14),Pedidos!$V$2:$V$301,0),"")</f>
        <v/>
      </c>
      <c r="B34" s="13" t="str">
        <f aca="false">IF($A34="","",INDEX(Pedidos!$A$2:$A$301,$A34))</f>
        <v/>
      </c>
      <c r="C34" s="19" t="str">
        <f aca="false">IF($A34="","",IF(INDEX(Pedidos!$F$2:$F$301,$A34)="","—",INDEX(Pedidos!$F$2:$F$301,$A34)))</f>
        <v/>
      </c>
      <c r="D34" s="13" t="str">
        <f aca="false">IF($A34="","",INDEX(Pedidos!$K$2:$K$301,$A34))</f>
        <v/>
      </c>
      <c r="E34" s="13" t="str">
        <f aca="false">IF($A34="","",INDEX(Pedidos!$D$2:$D$301,$A34))</f>
        <v/>
      </c>
      <c r="F34" s="13" t="str">
        <f aca="false">IF($A34="","",INDEX(Pedidos!$J$2:$J$301,$A34))</f>
        <v/>
      </c>
      <c r="G34" s="20" t="str">
        <f aca="false">IF($A34="","",IF(INDEX(Pedidos!$M$2:$M$301,$A34)="Dato pendiente","sin fecha",INDEX(Pedidos!$N$2:$N$301,$A34)))</f>
        <v/>
      </c>
      <c r="H34" s="20" t="str">
        <f aca="false">IF($A34="","",INDEX(Pedidos!$Q$2:$Q$301,$A34))</f>
        <v/>
      </c>
      <c r="I34" s="13" t="str">
        <f aca="false">IF($A34="","",INDEX(Pedidos!$O$2:$O$301,$A34))</f>
        <v/>
      </c>
      <c r="J34" s="21" t="str">
        <f aca="false">IF($A34="","",INDEX(Pedidos!$R$2:$R$301,$A34))</f>
        <v/>
      </c>
      <c r="K34" s="13" t="str">
        <f aca="false">IF($A34="","",INDEX(Pedidos!$U$2:$U$301,$A34))</f>
        <v/>
      </c>
    </row>
  </sheetData>
  <mergeCells count="7">
    <mergeCell ref="B10:D10"/>
    <mergeCell ref="B11:D11"/>
    <mergeCell ref="B12:D12"/>
    <mergeCell ref="B13:D13"/>
    <mergeCell ref="B14:D14"/>
    <mergeCell ref="B15:D15"/>
    <mergeCell ref="B16:D16"/>
  </mergeCells>
  <conditionalFormatting sqref="B21:K34">
    <cfRule type="expression" priority="2" aboveAverage="0" equalAverage="0" bottom="0" percent="0" rank="0" text="" dxfId="0">
      <formula>AND($A21&lt;&gt;"",MOD(ROW(),2)=0)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4581E"/>
    <pageSetUpPr fitToPage="true"/>
  </sheetPr>
  <dimension ref="B2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4" min="3" style="0" width="9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6"/>
    <col collapsed="false" customWidth="true" hidden="false" outlineLevel="0" max="11" min="11" style="0" width="15"/>
  </cols>
  <sheetData>
    <row r="2" customFormat="false" ht="18.55" hidden="false" customHeight="false" outlineLevel="0" collapsed="false">
      <c r="B2" s="2" t="s">
        <v>56</v>
      </c>
    </row>
    <row r="3" customFormat="false" ht="15" hidden="false" customHeight="false" outlineLevel="0" collapsed="false">
      <c r="B3" s="8" t="s">
        <v>57</v>
      </c>
    </row>
    <row r="5" customFormat="false" ht="27.75" hidden="false" customHeight="true" outlineLevel="0" collapsed="false">
      <c r="B5" s="18" t="s">
        <v>58</v>
      </c>
      <c r="C5" s="18" t="s">
        <v>59</v>
      </c>
      <c r="D5" s="18" t="s">
        <v>60</v>
      </c>
      <c r="E5" s="18" t="s">
        <v>61</v>
      </c>
      <c r="F5" s="18" t="s">
        <v>62</v>
      </c>
      <c r="G5" s="18" t="s">
        <v>63</v>
      </c>
      <c r="H5" s="18" t="s">
        <v>64</v>
      </c>
      <c r="I5" s="18" t="s">
        <v>65</v>
      </c>
      <c r="J5" s="18" t="s">
        <v>66</v>
      </c>
      <c r="K5" s="18" t="s">
        <v>37</v>
      </c>
    </row>
    <row r="6" customFormat="false" ht="15" hidden="false" customHeight="false" outlineLevel="0" collapsed="false">
      <c r="B6" s="13" t="s">
        <v>67</v>
      </c>
      <c r="C6" s="13" t="n">
        <f aca="false">COUNTIF(Pedidos!$D$2:$D$301,B6)</f>
        <v>26</v>
      </c>
      <c r="D6" s="13" t="n">
        <f aca="false">COUNTIFS(Pedidos!$D$2:$D$301,B6,Pedidos!$L$2:$L$301,"Sí")</f>
        <v>7</v>
      </c>
      <c r="E6" s="13" t="n">
        <f aca="false">COUNTIFS(Pedidos!$D$2:$D$301,B6,Pedidos!$M$2:$M$301,"Fuera de plazo")</f>
        <v>4</v>
      </c>
      <c r="F6" s="13" t="n">
        <f aca="false">COUNTIFS(Pedidos!$D$2:$D$301,B6,Pedidos!$J$2:$J$301,"Entregado")</f>
        <v>17</v>
      </c>
      <c r="G6" s="13" t="n">
        <f aca="false">COUNTIFS(Pedidos!$D$2:$D$301,B6,Pedidos!$S$2:$S$301,"Sí")</f>
        <v>10</v>
      </c>
      <c r="H6" s="22" t="n">
        <f aca="false">IFERROR(G6/COUNTIFS(Pedidos!$D$2:$D$301,B6,Pedidos!$S$2:$S$301,"?*"),"")</f>
        <v>0.588235294117647</v>
      </c>
      <c r="I6" s="13" t="n">
        <f aca="false">COUNTIF(Incidencias!$I$2:$I$151,B6)</f>
        <v>4</v>
      </c>
      <c r="J6" s="21" t="n">
        <f aca="false">SUMIFS(Pedidos!$H$2:$H$301,Pedidos!$D$2:$D$301,B6,Pedidos!$J$2:$J$301,"&lt;&gt;Anulado")</f>
        <v>2194.5</v>
      </c>
      <c r="K6" s="21" t="n">
        <f aca="false">SUMIFS(Pedidos!$R$2:$R$301,Pedidos!$D$2:$D$301,B6)</f>
        <v>571.7</v>
      </c>
    </row>
    <row r="7" customFormat="false" ht="15" hidden="false" customHeight="false" outlineLevel="0" collapsed="false">
      <c r="B7" s="13" t="s">
        <v>68</v>
      </c>
      <c r="C7" s="13" t="n">
        <f aca="false">COUNTIF(Pedidos!$D$2:$D$301,B7)</f>
        <v>15</v>
      </c>
      <c r="D7" s="13" t="n">
        <f aca="false">COUNTIFS(Pedidos!$D$2:$D$301,B7,Pedidos!$L$2:$L$301,"Sí")</f>
        <v>2</v>
      </c>
      <c r="E7" s="13" t="n">
        <f aca="false">COUNTIFS(Pedidos!$D$2:$D$301,B7,Pedidos!$M$2:$M$301,"Fuera de plazo")</f>
        <v>2</v>
      </c>
      <c r="F7" s="13" t="n">
        <f aca="false">COUNTIFS(Pedidos!$D$2:$D$301,B7,Pedidos!$J$2:$J$301,"Entregado")</f>
        <v>13</v>
      </c>
      <c r="G7" s="13" t="n">
        <f aca="false">COUNTIFS(Pedidos!$D$2:$D$301,B7,Pedidos!$S$2:$S$301,"Sí")</f>
        <v>5</v>
      </c>
      <c r="H7" s="22" t="n">
        <f aca="false">IFERROR(G7/COUNTIFS(Pedidos!$D$2:$D$301,B7,Pedidos!$S$2:$S$301,"?*"),"")</f>
        <v>0.416666666666667</v>
      </c>
      <c r="I7" s="13" t="n">
        <f aca="false">COUNTIF(Incidencias!$I$2:$I$151,B7)</f>
        <v>5</v>
      </c>
      <c r="J7" s="21" t="n">
        <f aca="false">SUMIFS(Pedidos!$H$2:$H$301,Pedidos!$D$2:$D$301,B7,Pedidos!$J$2:$J$301,"&lt;&gt;Anulado")</f>
        <v>19274.7</v>
      </c>
      <c r="K7" s="21" t="n">
        <f aca="false">SUMIFS(Pedidos!$R$2:$R$301,Pedidos!$D$2:$D$301,B7)</f>
        <v>1437.9</v>
      </c>
    </row>
    <row r="8" customFormat="false" ht="15" hidden="false" customHeight="false" outlineLevel="0" collapsed="false">
      <c r="B8" s="13" t="s">
        <v>69</v>
      </c>
      <c r="C8" s="13" t="n">
        <f aca="false">COUNTIF(Pedidos!$D$2:$D$301,B8)</f>
        <v>24</v>
      </c>
      <c r="D8" s="13" t="n">
        <f aca="false">COUNTIFS(Pedidos!$D$2:$D$301,B8,Pedidos!$L$2:$L$301,"Sí")</f>
        <v>3</v>
      </c>
      <c r="E8" s="13" t="n">
        <f aca="false">COUNTIFS(Pedidos!$D$2:$D$301,B8,Pedidos!$M$2:$M$301,"Fuera de plazo")</f>
        <v>0</v>
      </c>
      <c r="F8" s="13" t="n">
        <f aca="false">COUNTIFS(Pedidos!$D$2:$D$301,B8,Pedidos!$J$2:$J$301,"Entregado")</f>
        <v>20</v>
      </c>
      <c r="G8" s="13" t="n">
        <f aca="false">COUNTIFS(Pedidos!$D$2:$D$301,B8,Pedidos!$S$2:$S$301,"Sí")</f>
        <v>8</v>
      </c>
      <c r="H8" s="22" t="n">
        <f aca="false">IFERROR(G8/COUNTIFS(Pedidos!$D$2:$D$301,B8,Pedidos!$S$2:$S$301,"?*"),"")</f>
        <v>0.4</v>
      </c>
      <c r="I8" s="13" t="n">
        <f aca="false">COUNTIF(Incidencias!$I$2:$I$151,B8)</f>
        <v>7</v>
      </c>
      <c r="J8" s="21" t="n">
        <f aca="false">SUMIFS(Pedidos!$H$2:$H$301,Pedidos!$D$2:$D$301,B8,Pedidos!$J$2:$J$301,"&lt;&gt;Anulado")</f>
        <v>4696.4</v>
      </c>
      <c r="K8" s="21" t="n">
        <f aca="false">SUMIFS(Pedidos!$R$2:$R$301,Pedidos!$D$2:$D$301,B8)</f>
        <v>293.8</v>
      </c>
    </row>
    <row r="9" customFormat="false" ht="15" hidden="false" customHeight="false" outlineLevel="0" collapsed="false">
      <c r="B9" s="13" t="s">
        <v>70</v>
      </c>
      <c r="C9" s="13" t="n">
        <f aca="false">COUNTIF(Pedidos!$D$2:$D$301,B9)</f>
        <v>12</v>
      </c>
      <c r="D9" s="13" t="n">
        <f aca="false">COUNTIFS(Pedidos!$D$2:$D$301,B9,Pedidos!$L$2:$L$301,"Sí")</f>
        <v>3</v>
      </c>
      <c r="E9" s="13" t="n">
        <f aca="false">COUNTIFS(Pedidos!$D$2:$D$301,B9,Pedidos!$M$2:$M$301,"Fuera de plazo")</f>
        <v>1</v>
      </c>
      <c r="F9" s="13" t="n">
        <f aca="false">COUNTIFS(Pedidos!$D$2:$D$301,B9,Pedidos!$J$2:$J$301,"Entregado")</f>
        <v>9</v>
      </c>
      <c r="G9" s="13" t="n">
        <f aca="false">COUNTIFS(Pedidos!$D$2:$D$301,B9,Pedidos!$S$2:$S$301,"Sí")</f>
        <v>6</v>
      </c>
      <c r="H9" s="22" t="n">
        <f aca="false">IFERROR(G9/COUNTIFS(Pedidos!$D$2:$D$301,B9,Pedidos!$S$2:$S$301,"?*"),"")</f>
        <v>0.75</v>
      </c>
      <c r="I9" s="13" t="n">
        <f aca="false">COUNTIF(Incidencias!$I$2:$I$151,B9)</f>
        <v>1</v>
      </c>
      <c r="J9" s="21" t="n">
        <f aca="false">SUMIFS(Pedidos!$H$2:$H$301,Pedidos!$D$2:$D$301,B9,Pedidos!$J$2:$J$301,"&lt;&gt;Anulado")</f>
        <v>11338</v>
      </c>
      <c r="K9" s="21" t="n">
        <f aca="false">SUMIFS(Pedidos!$R$2:$R$301,Pedidos!$D$2:$D$301,B9)</f>
        <v>899</v>
      </c>
    </row>
    <row r="10" customFormat="false" ht="15" hidden="false" customHeight="false" outlineLevel="0" collapsed="false">
      <c r="B10" s="13" t="s">
        <v>71</v>
      </c>
      <c r="C10" s="13" t="n">
        <f aca="false">COUNTIF(Pedidos!$D$2:$D$301,B10)</f>
        <v>10</v>
      </c>
      <c r="D10" s="13" t="n">
        <f aca="false">COUNTIFS(Pedidos!$D$2:$D$301,B10,Pedidos!$L$2:$L$301,"Sí")</f>
        <v>1</v>
      </c>
      <c r="E10" s="13" t="n">
        <f aca="false">COUNTIFS(Pedidos!$D$2:$D$301,B10,Pedidos!$M$2:$M$301,"Fuera de plazo")</f>
        <v>0</v>
      </c>
      <c r="F10" s="13" t="n">
        <f aca="false">COUNTIFS(Pedidos!$D$2:$D$301,B10,Pedidos!$J$2:$J$301,"Entregado")</f>
        <v>8</v>
      </c>
      <c r="G10" s="13" t="n">
        <f aca="false">COUNTIFS(Pedidos!$D$2:$D$301,B10,Pedidos!$S$2:$S$301,"Sí")</f>
        <v>3</v>
      </c>
      <c r="H10" s="22" t="n">
        <f aca="false">IFERROR(G10/COUNTIFS(Pedidos!$D$2:$D$301,B10,Pedidos!$S$2:$S$301,"?*"),"")</f>
        <v>0.375</v>
      </c>
      <c r="I10" s="13" t="n">
        <f aca="false">COUNTIF(Incidencias!$I$2:$I$151,B10)</f>
        <v>2</v>
      </c>
      <c r="J10" s="21" t="n">
        <f aca="false">SUMIFS(Pedidos!$H$2:$H$301,Pedidos!$D$2:$D$301,B10,Pedidos!$J$2:$J$301,"&lt;&gt;Anulado")</f>
        <v>2474.6</v>
      </c>
      <c r="K10" s="21" t="n">
        <f aca="false">SUMIFS(Pedidos!$R$2:$R$301,Pedidos!$D$2:$D$301,B10)</f>
        <v>169</v>
      </c>
    </row>
    <row r="11" customFormat="false" ht="15" hidden="false" customHeight="false" outlineLevel="0" collapsed="false">
      <c r="B11" s="13" t="s">
        <v>72</v>
      </c>
      <c r="C11" s="13" t="n">
        <f aca="false">COUNTIF(Pedidos!$D$2:$D$301,B11)</f>
        <v>13</v>
      </c>
      <c r="D11" s="13" t="n">
        <f aca="false">COUNTIFS(Pedidos!$D$2:$D$301,B11,Pedidos!$L$2:$L$301,"Sí")</f>
        <v>3</v>
      </c>
      <c r="E11" s="13" t="n">
        <f aca="false">COUNTIFS(Pedidos!$D$2:$D$301,B11,Pedidos!$M$2:$M$301,"Fuera de plazo")</f>
        <v>0</v>
      </c>
      <c r="F11" s="13" t="n">
        <f aca="false">COUNTIFS(Pedidos!$D$2:$D$301,B11,Pedidos!$J$2:$J$301,"Entregado")</f>
        <v>10</v>
      </c>
      <c r="G11" s="13" t="n">
        <f aca="false">COUNTIFS(Pedidos!$D$2:$D$301,B11,Pedidos!$S$2:$S$301,"Sí")</f>
        <v>6</v>
      </c>
      <c r="H11" s="22" t="n">
        <f aca="false">IFERROR(G11/COUNTIFS(Pedidos!$D$2:$D$301,B11,Pedidos!$S$2:$S$301,"?*"),"")</f>
        <v>0.6</v>
      </c>
      <c r="I11" s="13" t="n">
        <f aca="false">COUNTIF(Incidencias!$I$2:$I$151,B11)</f>
        <v>0</v>
      </c>
      <c r="J11" s="21" t="n">
        <f aca="false">SUMIFS(Pedidos!$H$2:$H$301,Pedidos!$D$2:$D$301,B11,Pedidos!$J$2:$J$301,"&lt;&gt;Anulado")</f>
        <v>2436.5</v>
      </c>
      <c r="K11" s="21" t="n">
        <f aca="false">SUMIFS(Pedidos!$R$2:$R$301,Pedidos!$D$2:$D$301,B11)</f>
        <v>437.8</v>
      </c>
    </row>
    <row r="12" customFormat="false" ht="15" hidden="false" customHeight="false" outlineLevel="0" collapsed="false">
      <c r="B12" s="23" t="s">
        <v>73</v>
      </c>
      <c r="C12" s="23" t="n">
        <f aca="false">SUM(C6:C11)</f>
        <v>100</v>
      </c>
      <c r="D12" s="23" t="n">
        <f aca="false">SUM(D6:D11)</f>
        <v>19</v>
      </c>
      <c r="E12" s="23" t="n">
        <f aca="false">SUM(E6:E11)</f>
        <v>7</v>
      </c>
      <c r="F12" s="23" t="n">
        <f aca="false">SUM(F6:F11)</f>
        <v>77</v>
      </c>
      <c r="G12" s="23" t="n">
        <f aca="false">SUM(G6:G11)</f>
        <v>38</v>
      </c>
      <c r="H12" s="24" t="n">
        <f aca="false">IFERROR(G12/SUMPRODUCT((Pedidos!$S$2:$S$301&lt;&gt;"")*1),"")</f>
        <v>0.506666666666667</v>
      </c>
      <c r="I12" s="23" t="n">
        <f aca="false">SUM(I6:I11)</f>
        <v>19</v>
      </c>
      <c r="J12" s="25" t="n">
        <f aca="false">SUM(J6:J11)</f>
        <v>42414.7</v>
      </c>
      <c r="K12" s="25" t="n">
        <f aca="false">SUM(K6:K11)</f>
        <v>3809.2</v>
      </c>
    </row>
    <row r="15" customFormat="false" ht="15" hidden="false" customHeight="false" outlineLevel="0" collapsed="false">
      <c r="B15" s="17" t="s">
        <v>74</v>
      </c>
      <c r="G15" s="17" t="s">
        <v>75</v>
      </c>
    </row>
    <row r="16" customFormat="false" ht="27.75" hidden="false" customHeight="true" outlineLevel="0" collapsed="false">
      <c r="B16" s="18" t="s">
        <v>76</v>
      </c>
      <c r="C16" s="18" t="s">
        <v>73</v>
      </c>
      <c r="D16" s="18" t="s">
        <v>77</v>
      </c>
      <c r="E16" s="18" t="s">
        <v>78</v>
      </c>
    </row>
    <row r="17" customFormat="false" ht="15" hidden="false" customHeight="false" outlineLevel="0" collapsed="false">
      <c r="B17" s="13" t="s">
        <v>79</v>
      </c>
      <c r="C17" s="13" t="n">
        <f aca="false">COUNTIF(Incidencias!$D$2:$D$151,B17)</f>
        <v>8</v>
      </c>
      <c r="D17" s="13" t="n">
        <f aca="false">COUNTIFS(Incidencias!$D$2:$D$151,B17,Incidencias!$F$2:$F$151,"Abierta")</f>
        <v>4</v>
      </c>
      <c r="E17" s="26" t="n">
        <f aca="false">IFERROR(AVERAGEIFS(Incidencias!$J$2:$J$151,Incidencias!$D$2:$D$151,B17,Incidencias!$F$2:$F$151,"Cerrada"),"—")</f>
        <v>2</v>
      </c>
    </row>
    <row r="18" customFormat="false" ht="15" hidden="false" customHeight="false" outlineLevel="0" collapsed="false">
      <c r="B18" s="13" t="s">
        <v>80</v>
      </c>
      <c r="C18" s="13" t="n">
        <f aca="false">COUNTIF(Incidencias!$D$2:$D$151,B18)</f>
        <v>3</v>
      </c>
      <c r="D18" s="13" t="n">
        <f aca="false">COUNTIFS(Incidencias!$D$2:$D$151,B18,Incidencias!$F$2:$F$151,"Abierta")</f>
        <v>1</v>
      </c>
      <c r="E18" s="26" t="n">
        <f aca="false">IFERROR(AVERAGEIFS(Incidencias!$J$2:$J$151,Incidencias!$D$2:$D$151,B18,Incidencias!$F$2:$F$151,"Cerrada"),"—")</f>
        <v>3.5</v>
      </c>
    </row>
    <row r="19" customFormat="false" ht="15" hidden="false" customHeight="false" outlineLevel="0" collapsed="false">
      <c r="B19" s="13" t="s">
        <v>81</v>
      </c>
      <c r="C19" s="13" t="n">
        <f aca="false">COUNTIF(Incidencias!$D$2:$D$151,B19)</f>
        <v>2</v>
      </c>
      <c r="D19" s="13" t="n">
        <f aca="false">COUNTIFS(Incidencias!$D$2:$D$151,B19,Incidencias!$F$2:$F$151,"Abierta")</f>
        <v>0</v>
      </c>
      <c r="E19" s="26" t="n">
        <f aca="false">IFERROR(AVERAGEIFS(Incidencias!$J$2:$J$151,Incidencias!$D$2:$D$151,B19,Incidencias!$F$2:$F$151,"Cerrada"),"—")</f>
        <v>3</v>
      </c>
    </row>
    <row r="20" customFormat="false" ht="15" hidden="false" customHeight="false" outlineLevel="0" collapsed="false">
      <c r="B20" s="13" t="s">
        <v>82</v>
      </c>
      <c r="C20" s="13" t="n">
        <f aca="false">COUNTIF(Incidencias!$D$2:$D$151,B20)</f>
        <v>2</v>
      </c>
      <c r="D20" s="13" t="n">
        <f aca="false">COUNTIFS(Incidencias!$D$2:$D$151,B20,Incidencias!$F$2:$F$151,"Abierta")</f>
        <v>0</v>
      </c>
      <c r="E20" s="26" t="n">
        <f aca="false">IFERROR(AVERAGEIFS(Incidencias!$J$2:$J$151,Incidencias!$D$2:$D$151,B20,Incidencias!$F$2:$F$151,"Cerrada"),"—")</f>
        <v>2</v>
      </c>
    </row>
    <row r="21" customFormat="false" ht="15" hidden="false" customHeight="false" outlineLevel="0" collapsed="false">
      <c r="B21" s="13" t="s">
        <v>83</v>
      </c>
      <c r="C21" s="13" t="n">
        <f aca="false">COUNTIF(Incidencias!$D$2:$D$151,B21)</f>
        <v>2</v>
      </c>
      <c r="D21" s="13" t="n">
        <f aca="false">COUNTIFS(Incidencias!$D$2:$D$151,B21,Incidencias!$F$2:$F$151,"Abierta")</f>
        <v>2</v>
      </c>
      <c r="E21" s="26" t="str">
        <f aca="false">IFERROR(AVERAGEIFS(Incidencias!$J$2:$J$151,Incidencias!$D$2:$D$151,B21,Incidencias!$F$2:$F$151,"Cerrada"),"—")</f>
        <v>—</v>
      </c>
    </row>
    <row r="22" customFormat="false" ht="15" hidden="false" customHeight="false" outlineLevel="0" collapsed="false">
      <c r="B22" s="13" t="s">
        <v>84</v>
      </c>
      <c r="C22" s="13" t="n">
        <f aca="false">COUNTIF(Incidencias!$D$2:$D$151,B22)</f>
        <v>1</v>
      </c>
      <c r="D22" s="13" t="n">
        <f aca="false">COUNTIFS(Incidencias!$D$2:$D$151,B22,Incidencias!$F$2:$F$151,"Abierta")</f>
        <v>0</v>
      </c>
      <c r="E22" s="26" t="n">
        <f aca="false">IFERROR(AVERAGEIFS(Incidencias!$J$2:$J$151,Incidencias!$D$2:$D$151,B22,Incidencias!$F$2:$F$151,"Cerrada"),"—")</f>
        <v>2</v>
      </c>
    </row>
    <row r="23" customFormat="false" ht="15" hidden="false" customHeight="false" outlineLevel="0" collapsed="false">
      <c r="B23" s="13" t="s">
        <v>85</v>
      </c>
      <c r="C23" s="13" t="n">
        <f aca="false">COUNTIF(Incidencias!$D$2:$D$151,B23)</f>
        <v>1</v>
      </c>
      <c r="D23" s="13" t="n">
        <f aca="false">COUNTIFS(Incidencias!$D$2:$D$151,B23,Incidencias!$F$2:$F$151,"Abierta")</f>
        <v>0</v>
      </c>
      <c r="E23" s="26" t="n">
        <f aca="false">IFERROR(AVERAGEIFS(Incidencias!$J$2:$J$151,Incidencias!$D$2:$D$151,B23,Incidencias!$F$2:$F$151,"Cerrada"),"—")</f>
        <v>2</v>
      </c>
    </row>
    <row r="24" customFormat="false" ht="15" hidden="false" customHeight="false" outlineLevel="0" collapsed="false">
      <c r="B24" s="6" t="s">
        <v>73</v>
      </c>
      <c r="C24" s="6" t="n">
        <f aca="false">SUM(C17:C23)</f>
        <v>19</v>
      </c>
      <c r="D24" s="6" t="n">
        <f aca="false">SUM(D17:D23)</f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42"/>
    <col collapsed="false" customWidth="true" hidden="false" outlineLevel="0" max="8" min="6" style="0" width="12"/>
    <col collapsed="false" customWidth="true" hidden="false" outlineLevel="0" max="9" min="9" style="0" width="11"/>
    <col collapsed="false" customWidth="true" hidden="false" outlineLevel="0" max="10" min="10" style="0" width="17"/>
    <col collapsed="false" customWidth="true" hidden="false" outlineLevel="0" max="11" min="11" style="0" width="28"/>
    <col collapsed="false" customWidth="true" hidden="false" outlineLevel="0" max="12" min="12" style="0" width="9"/>
    <col collapsed="false" customWidth="true" hidden="false" outlineLevel="0" max="13" min="13" style="0" width="15"/>
    <col collapsed="false" customWidth="true" hidden="false" outlineLevel="0" max="14" min="14" style="0" width="10"/>
    <col collapsed="false" customWidth="true" hidden="false" outlineLevel="0" max="15" min="15" style="0" width="18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13"/>
    <col collapsed="false" customWidth="true" hidden="false" outlineLevel="0" max="19" min="19" style="0" width="11"/>
    <col collapsed="false" customWidth="true" hidden="false" outlineLevel="0" max="20" min="20" style="0" width="26"/>
    <col collapsed="false" customWidth="true" hidden="false" outlineLevel="0" max="21" min="21" style="0" width="36"/>
    <col collapsed="false" customWidth="true" hidden="false" outlineLevel="0" max="23" min="22" style="0" width="9"/>
  </cols>
  <sheetData>
    <row r="1" customFormat="false" ht="27.75" hidden="false" customHeight="true" outlineLevel="0" collapsed="false">
      <c r="A1" s="18" t="s">
        <v>86</v>
      </c>
      <c r="B1" s="18" t="s">
        <v>87</v>
      </c>
      <c r="C1" s="18" t="s">
        <v>88</v>
      </c>
      <c r="D1" s="18" t="s">
        <v>89</v>
      </c>
      <c r="E1" s="18" t="s">
        <v>90</v>
      </c>
      <c r="F1" s="18" t="s">
        <v>91</v>
      </c>
      <c r="G1" s="18" t="s">
        <v>92</v>
      </c>
      <c r="H1" s="18" t="s">
        <v>93</v>
      </c>
      <c r="I1" s="18" t="s">
        <v>94</v>
      </c>
      <c r="J1" s="18" t="s">
        <v>95</v>
      </c>
      <c r="K1" s="27" t="s">
        <v>49</v>
      </c>
      <c r="L1" s="27" t="s">
        <v>96</v>
      </c>
      <c r="M1" s="27" t="s">
        <v>97</v>
      </c>
      <c r="N1" s="27" t="s">
        <v>98</v>
      </c>
      <c r="O1" s="27" t="s">
        <v>54</v>
      </c>
      <c r="P1" s="27" t="s">
        <v>65</v>
      </c>
      <c r="Q1" s="27" t="s">
        <v>99</v>
      </c>
      <c r="R1" s="27" t="s">
        <v>37</v>
      </c>
      <c r="S1" s="27" t="s">
        <v>100</v>
      </c>
      <c r="T1" s="27" t="s">
        <v>101</v>
      </c>
      <c r="U1" s="27" t="s">
        <v>55</v>
      </c>
      <c r="V1" s="27" t="s">
        <v>102</v>
      </c>
      <c r="W1" s="27" t="s">
        <v>103</v>
      </c>
    </row>
    <row r="2" customFormat="false" ht="15" hidden="false" customHeight="false" outlineLevel="0" collapsed="false">
      <c r="A2" s="13" t="s">
        <v>104</v>
      </c>
      <c r="B2" s="13" t="s">
        <v>105</v>
      </c>
      <c r="C2" s="28" t="n">
        <v>46175</v>
      </c>
      <c r="D2" s="13" t="s">
        <v>70</v>
      </c>
      <c r="E2" s="13" t="s">
        <v>106</v>
      </c>
      <c r="F2" s="28" t="n">
        <v>46181</v>
      </c>
      <c r="G2" s="28" t="n">
        <v>46184</v>
      </c>
      <c r="H2" s="21" t="n">
        <v>1349</v>
      </c>
      <c r="I2" s="21" t="n">
        <v>100</v>
      </c>
      <c r="J2" s="13" t="s">
        <v>7</v>
      </c>
      <c r="K2" s="13" t="str">
        <f aca="false">IF(A2="","",IFERROR(INDEX(Clientes!$B$2:$B$200,MATCH(B2,Clientes!$A$2:$A$200,0)),"Cliente no registrado"))</f>
        <v>Marina Torres Blanco</v>
      </c>
      <c r="L2" s="13" t="str">
        <f aca="false">IF(A2="","",IF(OR(J2="Entregado",J2="Anulado"),"No","Sí"))</f>
        <v>No</v>
      </c>
      <c r="M2" s="13" t="str">
        <f aca="false">IF(A2="","",IF(J2="Entregado","Entregado",IF(J2="Anulado","Anulado",IF(F2="","Dato pendiente",IF(F2&lt;Control!$C$4,"Fuera de plazo","En plazo")))))</f>
        <v>Entregado</v>
      </c>
      <c r="N2" s="13" t="str">
        <f aca="false">IF(M2="Fuera de plazo",Control!$C$4-F2,"")</f>
        <v/>
      </c>
      <c r="O2" s="13" t="str">
        <f aca="false">IF(M2="Fuera de plazo",IF(J2="Listo para recoger","Cliente (no recoge)","Tienda o proveedor"),"")</f>
        <v/>
      </c>
      <c r="P2" s="13" t="n">
        <f aca="false">IF(A2="","",COUNTIF(Incidencias!$B$2:$B$151,A2))</f>
        <v>0</v>
      </c>
      <c r="Q2" s="13" t="n">
        <f aca="false">IF(A2="","",COUNTIFS(Incidencias!$B$2:$B$151,A2,Incidencias!$F$2:$F$151,"Abierta"))</f>
        <v>0</v>
      </c>
      <c r="R2" s="21" t="n">
        <f aca="false">IF(L2="Sí",H2-I2,IF(A2="","",0))</f>
        <v>0</v>
      </c>
      <c r="S2" s="13" t="str">
        <f aca="false">IF(AND(J2="Entregado",F2&lt;&gt;"",G2&lt;&gt;""),IF(G2&lt;=F2,"Sí","No"),"")</f>
        <v>No</v>
      </c>
      <c r="T2" s="13" t="str">
        <f aca="false">IF(A2="","",IF(K2="Cliente no registrado","Cliente sin dar de alta",IF(F2="","Falta fecha prevista",IF(AND(J2="Entregado",G2=""),"Entregado sin fecha de entrega",IF(ISNA(MATCH(J2,Inicio!$Z$1:$Z$6,0)),"Estado no reconocido",IF(F2&lt;C2,"Prevista anterior al pedido",IF(AND(G2&lt;&gt;"",G2&lt;C2),"Entrega anterior al pedido","")))))))</f>
        <v/>
      </c>
      <c r="U2" s="13" t="str">
        <f aca="false">IF(L2&lt;&gt;"Sí","",IF(M2="Dato pendiente","Poner fecha prevista y avisar al cliente",IF(M2="En plazo","Seguimiento normal",IF(J2="Listo para recoger","Recordar la recogida al cliente",IF(J2="Esperando pieza","Pedir fecha al proveedor y avisar al cliente",IF(J2="En taller","Revisar con el taller","Confirmar el pedido con el proveedor"))))))</f>
        <v/>
      </c>
      <c r="V2" s="29" t="str">
        <f aca="false">IF(M2="Dato pendiente",1000+ROW()/10000,IF(M2="Fuera de plazo",N2+ROW()/10000,""))</f>
        <v/>
      </c>
      <c r="W2" s="30" t="str">
        <f aca="false">IF(T2="","",ROW())</f>
        <v/>
      </c>
    </row>
    <row r="3" customFormat="false" ht="15" hidden="false" customHeight="false" outlineLevel="0" collapsed="false">
      <c r="A3" s="13" t="s">
        <v>107</v>
      </c>
      <c r="B3" s="13" t="s">
        <v>108</v>
      </c>
      <c r="C3" s="28" t="n">
        <v>46175</v>
      </c>
      <c r="D3" s="13" t="s">
        <v>69</v>
      </c>
      <c r="E3" s="13" t="s">
        <v>109</v>
      </c>
      <c r="F3" s="28" t="n">
        <v>46181</v>
      </c>
      <c r="G3" s="28" t="n">
        <v>46181</v>
      </c>
      <c r="H3" s="21" t="n">
        <v>249</v>
      </c>
      <c r="I3" s="21" t="n">
        <v>249</v>
      </c>
      <c r="J3" s="13" t="s">
        <v>7</v>
      </c>
      <c r="K3" s="13" t="str">
        <f aca="false">IF(A3="","",IFERROR(INDEX(Clientes!$B$2:$B$200,MATCH(B3,Clientes!$A$2:$A$200,0)),"Cliente no registrado"))</f>
        <v>Raúl Herrero Campos</v>
      </c>
      <c r="L3" s="13" t="str">
        <f aca="false">IF(A3="","",IF(OR(J3="Entregado",J3="Anulado"),"No","Sí"))</f>
        <v>No</v>
      </c>
      <c r="M3" s="13" t="str">
        <f aca="false">IF(A3="","",IF(J3="Entregado","Entregado",IF(J3="Anulado","Anulado",IF(F3="","Dato pendiente",IF(F3&lt;Control!$C$4,"Fuera de plazo","En plazo")))))</f>
        <v>Entregado</v>
      </c>
      <c r="N3" s="13" t="str">
        <f aca="false">IF(M3="Fuera de plazo",Control!$C$4-F3,"")</f>
        <v/>
      </c>
      <c r="O3" s="13" t="str">
        <f aca="false">IF(M3="Fuera de plazo",IF(J3="Listo para recoger","Cliente (no recoge)","Tienda o proveedor"),"")</f>
        <v/>
      </c>
      <c r="P3" s="13" t="n">
        <f aca="false">IF(A3="","",COUNTIF(Incidencias!$B$2:$B$151,A3))</f>
        <v>1</v>
      </c>
      <c r="Q3" s="13" t="n">
        <f aca="false">IF(A3="","",COUNTIFS(Incidencias!$B$2:$B$151,A3,Incidencias!$F$2:$F$151,"Abierta"))</f>
        <v>0</v>
      </c>
      <c r="R3" s="21" t="n">
        <f aca="false">IF(L3="Sí",H3-I3,IF(A3="","",0))</f>
        <v>0</v>
      </c>
      <c r="S3" s="13" t="str">
        <f aca="false">IF(AND(J3="Entregado",F3&lt;&gt;"",G3&lt;&gt;""),IF(G3&lt;=F3,"Sí","No"),"")</f>
        <v>Sí</v>
      </c>
      <c r="T3" s="13" t="str">
        <f aca="false">IF(A3="","",IF(K3="Cliente no registrado","Cliente sin dar de alta",IF(F3="","Falta fecha prevista",IF(AND(J3="Entregado",G3=""),"Entregado sin fecha de entrega",IF(ISNA(MATCH(J3,Inicio!$Z$1:$Z$6,0)),"Estado no reconocido",IF(F3&lt;C3,"Prevista anterior al pedido",IF(AND(G3&lt;&gt;"",G3&lt;C3),"Entrega anterior al pedido","")))))))</f>
        <v/>
      </c>
      <c r="U3" s="13" t="str">
        <f aca="false">IF(L3&lt;&gt;"Sí","",IF(M3="Dato pendiente","Poner fecha prevista y avisar al cliente",IF(M3="En plazo","Seguimiento normal",IF(J3="Listo para recoger","Recordar la recogida al cliente",IF(J3="Esperando pieza","Pedir fecha al proveedor y avisar al cliente",IF(J3="En taller","Revisar con el taller","Confirmar el pedido con el proveedor"))))))</f>
        <v/>
      </c>
      <c r="V3" s="29" t="str">
        <f aca="false">IF(M3="Dato pendiente",1000+ROW()/10000,IF(M3="Fuera de plazo",N3+ROW()/10000,""))</f>
        <v/>
      </c>
      <c r="W3" s="30" t="str">
        <f aca="false">IF(T3="","",ROW())</f>
        <v/>
      </c>
    </row>
    <row r="4" customFormat="false" ht="15" hidden="false" customHeight="false" outlineLevel="0" collapsed="false">
      <c r="A4" s="13" t="s">
        <v>110</v>
      </c>
      <c r="B4" s="13" t="s">
        <v>111</v>
      </c>
      <c r="C4" s="28" t="n">
        <v>46176</v>
      </c>
      <c r="D4" s="13" t="s">
        <v>68</v>
      </c>
      <c r="E4" s="13" t="s">
        <v>112</v>
      </c>
      <c r="F4" s="28" t="n">
        <v>46181</v>
      </c>
      <c r="G4" s="28" t="n">
        <v>46182</v>
      </c>
      <c r="H4" s="21" t="n">
        <v>649</v>
      </c>
      <c r="I4" s="21" t="n">
        <v>300</v>
      </c>
      <c r="J4" s="13" t="s">
        <v>7</v>
      </c>
      <c r="K4" s="13" t="str">
        <f aca="false">IF(A4="","",IFERROR(INDEX(Clientes!$B$2:$B$200,MATCH(B4,Clientes!$A$2:$A$200,0)),"Cliente no registrado"))</f>
        <v>Gestoría Ruiz y Molina</v>
      </c>
      <c r="L4" s="13" t="str">
        <f aca="false">IF(A4="","",IF(OR(J4="Entregado",J4="Anulado"),"No","Sí"))</f>
        <v>No</v>
      </c>
      <c r="M4" s="13" t="str">
        <f aca="false">IF(A4="","",IF(J4="Entregado","Entregado",IF(J4="Anulado","Anulado",IF(F4="","Dato pendiente",IF(F4&lt;Control!$C$4,"Fuera de plazo","En plazo")))))</f>
        <v>Entregado</v>
      </c>
      <c r="N4" s="13" t="str">
        <f aca="false">IF(M4="Fuera de plazo",Control!$C$4-F4,"")</f>
        <v/>
      </c>
      <c r="O4" s="13" t="str">
        <f aca="false">IF(M4="Fuera de plazo",IF(J4="Listo para recoger","Cliente (no recoge)","Tienda o proveedor"),"")</f>
        <v/>
      </c>
      <c r="P4" s="13" t="n">
        <f aca="false">IF(A4="","",COUNTIF(Incidencias!$B$2:$B$151,A4))</f>
        <v>0</v>
      </c>
      <c r="Q4" s="13" t="n">
        <f aca="false">IF(A4="","",COUNTIFS(Incidencias!$B$2:$B$151,A4,Incidencias!$F$2:$F$151,"Abierta"))</f>
        <v>0</v>
      </c>
      <c r="R4" s="21" t="n">
        <f aca="false">IF(L4="Sí",H4-I4,IF(A4="","",0))</f>
        <v>0</v>
      </c>
      <c r="S4" s="13" t="str">
        <f aca="false">IF(AND(J4="Entregado",F4&lt;&gt;"",G4&lt;&gt;""),IF(G4&lt;=F4,"Sí","No"),"")</f>
        <v>No</v>
      </c>
      <c r="T4" s="13" t="str">
        <f aca="false">IF(A4="","",IF(K4="Cliente no registrado","Cliente sin dar de alta",IF(F4="","Falta fecha prevista",IF(AND(J4="Entregado",G4=""),"Entregado sin fecha de entrega",IF(ISNA(MATCH(J4,Inicio!$Z$1:$Z$6,0)),"Estado no reconocido",IF(F4&lt;C4,"Prevista anterior al pedido",IF(AND(G4&lt;&gt;"",G4&lt;C4),"Entrega anterior al pedido","")))))))</f>
        <v/>
      </c>
      <c r="U4" s="13" t="str">
        <f aca="false">IF(L4&lt;&gt;"Sí","",IF(M4="Dato pendiente","Poner fecha prevista y avisar al cliente",IF(M4="En plazo","Seguimiento normal",IF(J4="Listo para recoger","Recordar la recogida al cliente",IF(J4="Esperando pieza","Pedir fecha al proveedor y avisar al cliente",IF(J4="En taller","Revisar con el taller","Confirmar el pedido con el proveedor"))))))</f>
        <v/>
      </c>
      <c r="V4" s="29" t="str">
        <f aca="false">IF(M4="Dato pendiente",1000+ROW()/10000,IF(M4="Fuera de plazo",N4+ROW()/10000,""))</f>
        <v/>
      </c>
      <c r="W4" s="30" t="str">
        <f aca="false">IF(T4="","",ROW())</f>
        <v/>
      </c>
    </row>
    <row r="5" customFormat="false" ht="15" hidden="false" customHeight="false" outlineLevel="0" collapsed="false">
      <c r="A5" s="13" t="s">
        <v>113</v>
      </c>
      <c r="B5" s="13" t="s">
        <v>114</v>
      </c>
      <c r="C5" s="28" t="n">
        <v>46178</v>
      </c>
      <c r="D5" s="13" t="s">
        <v>69</v>
      </c>
      <c r="E5" s="13" t="s">
        <v>115</v>
      </c>
      <c r="F5" s="28" t="n">
        <v>46186</v>
      </c>
      <c r="G5" s="28" t="n">
        <v>46186</v>
      </c>
      <c r="H5" s="21" t="n">
        <v>139.9</v>
      </c>
      <c r="I5" s="21" t="n">
        <v>139.9</v>
      </c>
      <c r="J5" s="13" t="s">
        <v>7</v>
      </c>
      <c r="K5" s="13" t="str">
        <f aca="false">IF(A5="","",IFERROR(INDEX(Clientes!$B$2:$B$200,MATCH(B5,Clientes!$A$2:$A$200,0)),"Cliente no registrado"))</f>
        <v>Daniel Romero Gil</v>
      </c>
      <c r="L5" s="13" t="str">
        <f aca="false">IF(A5="","",IF(OR(J5="Entregado",J5="Anulado"),"No","Sí"))</f>
        <v>No</v>
      </c>
      <c r="M5" s="13" t="str">
        <f aca="false">IF(A5="","",IF(J5="Entregado","Entregado",IF(J5="Anulado","Anulado",IF(F5="","Dato pendiente",IF(F5&lt;Control!$C$4,"Fuera de plazo","En plazo")))))</f>
        <v>Entregado</v>
      </c>
      <c r="N5" s="13" t="str">
        <f aca="false">IF(M5="Fuera de plazo",Control!$C$4-F5,"")</f>
        <v/>
      </c>
      <c r="O5" s="13" t="str">
        <f aca="false">IF(M5="Fuera de plazo",IF(J5="Listo para recoger","Cliente (no recoge)","Tienda o proveedor"),"")</f>
        <v/>
      </c>
      <c r="P5" s="13" t="n">
        <f aca="false">IF(A5="","",COUNTIF(Incidencias!$B$2:$B$151,A5))</f>
        <v>0</v>
      </c>
      <c r="Q5" s="13" t="n">
        <f aca="false">IF(A5="","",COUNTIFS(Incidencias!$B$2:$B$151,A5,Incidencias!$F$2:$F$151,"Abierta"))</f>
        <v>0</v>
      </c>
      <c r="R5" s="21" t="n">
        <f aca="false">IF(L5="Sí",H5-I5,IF(A5="","",0))</f>
        <v>0</v>
      </c>
      <c r="S5" s="13" t="str">
        <f aca="false">IF(AND(J5="Entregado",F5&lt;&gt;"",G5&lt;&gt;""),IF(G5&lt;=F5,"Sí","No"),"")</f>
        <v>Sí</v>
      </c>
      <c r="T5" s="13" t="str">
        <f aca="false">IF(A5="","",IF(K5="Cliente no registrado","Cliente sin dar de alta",IF(F5="","Falta fecha prevista",IF(AND(J5="Entregado",G5=""),"Entregado sin fecha de entrega",IF(ISNA(MATCH(J5,Inicio!$Z$1:$Z$6,0)),"Estado no reconocido",IF(F5&lt;C5,"Prevista anterior al pedido",IF(AND(G5&lt;&gt;"",G5&lt;C5),"Entrega anterior al pedido","")))))))</f>
        <v/>
      </c>
      <c r="U5" s="13" t="str">
        <f aca="false">IF(L5&lt;&gt;"Sí","",IF(M5="Dato pendiente","Poner fecha prevista y avisar al cliente",IF(M5="En plazo","Seguimiento normal",IF(J5="Listo para recoger","Recordar la recogida al cliente",IF(J5="Esperando pieza","Pedir fecha al proveedor y avisar al cliente",IF(J5="En taller","Revisar con el taller","Confirmar el pedido con el proveedor"))))))</f>
        <v/>
      </c>
      <c r="V5" s="29" t="str">
        <f aca="false">IF(M5="Dato pendiente",1000+ROW()/10000,IF(M5="Fuera de plazo",N5+ROW()/10000,""))</f>
        <v/>
      </c>
      <c r="W5" s="30" t="str">
        <f aca="false">IF(T5="","",ROW())</f>
        <v/>
      </c>
    </row>
    <row r="6" customFormat="false" ht="15" hidden="false" customHeight="false" outlineLevel="0" collapsed="false">
      <c r="A6" s="13" t="s">
        <v>116</v>
      </c>
      <c r="B6" s="13" t="s">
        <v>117</v>
      </c>
      <c r="C6" s="28" t="n">
        <v>46178</v>
      </c>
      <c r="D6" s="13" t="s">
        <v>68</v>
      </c>
      <c r="E6" s="13" t="s">
        <v>112</v>
      </c>
      <c r="F6" s="28" t="n">
        <v>46184</v>
      </c>
      <c r="G6" s="28" t="n">
        <v>46184</v>
      </c>
      <c r="H6" s="21" t="n">
        <v>749</v>
      </c>
      <c r="I6" s="21" t="n">
        <v>200</v>
      </c>
      <c r="J6" s="13" t="s">
        <v>7</v>
      </c>
      <c r="K6" s="13" t="str">
        <f aca="false">IF(A6="","",IFERROR(INDEX(Clientes!$B$2:$B$200,MATCH(B6,Clientes!$A$2:$A$200,0)),"Cliente no registrado"))</f>
        <v>Clínica Veterinaria Albaicín</v>
      </c>
      <c r="L6" s="13" t="str">
        <f aca="false">IF(A6="","",IF(OR(J6="Entregado",J6="Anulado"),"No","Sí"))</f>
        <v>No</v>
      </c>
      <c r="M6" s="13" t="str">
        <f aca="false">IF(A6="","",IF(J6="Entregado","Entregado",IF(J6="Anulado","Anulado",IF(F6="","Dato pendiente",IF(F6&lt;Control!$C$4,"Fuera de plazo","En plazo")))))</f>
        <v>Entregado</v>
      </c>
      <c r="N6" s="13" t="str">
        <f aca="false">IF(M6="Fuera de plazo",Control!$C$4-F6,"")</f>
        <v/>
      </c>
      <c r="O6" s="13" t="str">
        <f aca="false">IF(M6="Fuera de plazo",IF(J6="Listo para recoger","Cliente (no recoge)","Tienda o proveedor"),"")</f>
        <v/>
      </c>
      <c r="P6" s="13" t="n">
        <f aca="false">IF(A6="","",COUNTIF(Incidencias!$B$2:$B$151,A6))</f>
        <v>2</v>
      </c>
      <c r="Q6" s="13" t="n">
        <f aca="false">IF(A6="","",COUNTIFS(Incidencias!$B$2:$B$151,A6,Incidencias!$F$2:$F$151,"Abierta"))</f>
        <v>0</v>
      </c>
      <c r="R6" s="21" t="n">
        <f aca="false">IF(L6="Sí",H6-I6,IF(A6="","",0))</f>
        <v>0</v>
      </c>
      <c r="S6" s="13" t="str">
        <f aca="false">IF(AND(J6="Entregado",F6&lt;&gt;"",G6&lt;&gt;""),IF(G6&lt;=F6,"Sí","No"),"")</f>
        <v>Sí</v>
      </c>
      <c r="T6" s="13" t="str">
        <f aca="false">IF(A6="","",IF(K6="Cliente no registrado","Cliente sin dar de alta",IF(F6="","Falta fecha prevista",IF(AND(J6="Entregado",G6=""),"Entregado sin fecha de entrega",IF(ISNA(MATCH(J6,Inicio!$Z$1:$Z$6,0)),"Estado no reconocido",IF(F6&lt;C6,"Prevista anterior al pedido",IF(AND(G6&lt;&gt;"",G6&lt;C6),"Entrega anterior al pedido","")))))))</f>
        <v/>
      </c>
      <c r="U6" s="13" t="str">
        <f aca="false">IF(L6&lt;&gt;"Sí","",IF(M6="Dato pendiente","Poner fecha prevista y avisar al cliente",IF(M6="En plazo","Seguimiento normal",IF(J6="Listo para recoger","Recordar la recogida al cliente",IF(J6="Esperando pieza","Pedir fecha al proveedor y avisar al cliente",IF(J6="En taller","Revisar con el taller","Confirmar el pedido con el proveedor"))))))</f>
        <v/>
      </c>
      <c r="V6" s="29" t="str">
        <f aca="false">IF(M6="Dato pendiente",1000+ROW()/10000,IF(M6="Fuera de plazo",N6+ROW()/10000,""))</f>
        <v/>
      </c>
      <c r="W6" s="30" t="str">
        <f aca="false">IF(T6="","",ROW())</f>
        <v/>
      </c>
    </row>
    <row r="7" customFormat="false" ht="15" hidden="false" customHeight="false" outlineLevel="0" collapsed="false">
      <c r="A7" s="13" t="s">
        <v>118</v>
      </c>
      <c r="B7" s="13" t="s">
        <v>119</v>
      </c>
      <c r="C7" s="28" t="n">
        <v>46178</v>
      </c>
      <c r="D7" s="13" t="s">
        <v>67</v>
      </c>
      <c r="E7" s="13" t="s">
        <v>120</v>
      </c>
      <c r="F7" s="28" t="n">
        <v>46181</v>
      </c>
      <c r="G7" s="28" t="n">
        <v>46184</v>
      </c>
      <c r="H7" s="21" t="n">
        <v>95</v>
      </c>
      <c r="I7" s="21" t="n">
        <v>20</v>
      </c>
      <c r="J7" s="13" t="s">
        <v>7</v>
      </c>
      <c r="K7" s="13" t="str">
        <f aca="false">IF(A7="","",IFERROR(INDEX(Clientes!$B$2:$B$200,MATCH(B7,Clientes!$A$2:$A$200,0)),"Cliente no registrado"))</f>
        <v>Carmen López Jiménez</v>
      </c>
      <c r="L7" s="13" t="str">
        <f aca="false">IF(A7="","",IF(OR(J7="Entregado",J7="Anulado"),"No","Sí"))</f>
        <v>No</v>
      </c>
      <c r="M7" s="13" t="str">
        <f aca="false">IF(A7="","",IF(J7="Entregado","Entregado",IF(J7="Anulado","Anulado",IF(F7="","Dato pendiente",IF(F7&lt;Control!$C$4,"Fuera de plazo","En plazo")))))</f>
        <v>Entregado</v>
      </c>
      <c r="N7" s="13" t="str">
        <f aca="false">IF(M7="Fuera de plazo",Control!$C$4-F7,"")</f>
        <v/>
      </c>
      <c r="O7" s="13" t="str">
        <f aca="false">IF(M7="Fuera de plazo",IF(J7="Listo para recoger","Cliente (no recoge)","Tienda o proveedor"),"")</f>
        <v/>
      </c>
      <c r="P7" s="13" t="n">
        <f aca="false">IF(A7="","",COUNTIF(Incidencias!$B$2:$B$151,A7))</f>
        <v>0</v>
      </c>
      <c r="Q7" s="13" t="n">
        <f aca="false">IF(A7="","",COUNTIFS(Incidencias!$B$2:$B$151,A7,Incidencias!$F$2:$F$151,"Abierta"))</f>
        <v>0</v>
      </c>
      <c r="R7" s="21" t="n">
        <f aca="false">IF(L7="Sí",H7-I7,IF(A7="","",0))</f>
        <v>0</v>
      </c>
      <c r="S7" s="13" t="str">
        <f aca="false">IF(AND(J7="Entregado",F7&lt;&gt;"",G7&lt;&gt;""),IF(G7&lt;=F7,"Sí","No"),"")</f>
        <v>No</v>
      </c>
      <c r="T7" s="13" t="str">
        <f aca="false">IF(A7="","",IF(K7="Cliente no registrado","Cliente sin dar de alta",IF(F7="","Falta fecha prevista",IF(AND(J7="Entregado",G7=""),"Entregado sin fecha de entrega",IF(ISNA(MATCH(J7,Inicio!$Z$1:$Z$6,0)),"Estado no reconocido",IF(F7&lt;C7,"Prevista anterior al pedido",IF(AND(G7&lt;&gt;"",G7&lt;C7),"Entrega anterior al pedido","")))))))</f>
        <v/>
      </c>
      <c r="U7" s="13" t="str">
        <f aca="false">IF(L7&lt;&gt;"Sí","",IF(M7="Dato pendiente","Poner fecha prevista y avisar al cliente",IF(M7="En plazo","Seguimiento normal",IF(J7="Listo para recoger","Recordar la recogida al cliente",IF(J7="Esperando pieza","Pedir fecha al proveedor y avisar al cliente",IF(J7="En taller","Revisar con el taller","Confirmar el pedido con el proveedor"))))))</f>
        <v/>
      </c>
      <c r="V7" s="29" t="str">
        <f aca="false">IF(M7="Dato pendiente",1000+ROW()/10000,IF(M7="Fuera de plazo",N7+ROW()/10000,""))</f>
        <v/>
      </c>
      <c r="W7" s="30" t="str">
        <f aca="false">IF(T7="","",ROW())</f>
        <v/>
      </c>
    </row>
    <row r="8" customFormat="false" ht="15" hidden="false" customHeight="false" outlineLevel="0" collapsed="false">
      <c r="A8" s="13" t="s">
        <v>121</v>
      </c>
      <c r="B8" s="13" t="s">
        <v>122</v>
      </c>
      <c r="C8" s="28" t="n">
        <v>46179</v>
      </c>
      <c r="D8" s="13" t="s">
        <v>69</v>
      </c>
      <c r="E8" s="13" t="s">
        <v>123</v>
      </c>
      <c r="F8" s="28" t="n">
        <v>46185</v>
      </c>
      <c r="G8" s="28"/>
      <c r="H8" s="21" t="n">
        <v>329.9</v>
      </c>
      <c r="I8" s="21" t="n">
        <v>0</v>
      </c>
      <c r="J8" s="13" t="s">
        <v>8</v>
      </c>
      <c r="K8" s="13" t="str">
        <f aca="false">IF(A8="","",IFERROR(INDEX(Clientes!$B$2:$B$200,MATCH(B8,Clientes!$A$2:$A$200,0)),"Cliente no registrado"))</f>
        <v>Javier Soto Herrera</v>
      </c>
      <c r="L8" s="13" t="str">
        <f aca="false">IF(A8="","",IF(OR(J8="Entregado",J8="Anulado"),"No","Sí"))</f>
        <v>No</v>
      </c>
      <c r="M8" s="13" t="str">
        <f aca="false">IF(A8="","",IF(J8="Entregado","Entregado",IF(J8="Anulado","Anulado",IF(F8="","Dato pendiente",IF(F8&lt;Control!$C$4,"Fuera de plazo","En plazo")))))</f>
        <v>Anulado</v>
      </c>
      <c r="N8" s="13" t="str">
        <f aca="false">IF(M8="Fuera de plazo",Control!$C$4-F8,"")</f>
        <v/>
      </c>
      <c r="O8" s="13" t="str">
        <f aca="false">IF(M8="Fuera de plazo",IF(J8="Listo para recoger","Cliente (no recoge)","Tienda o proveedor"),"")</f>
        <v/>
      </c>
      <c r="P8" s="13" t="n">
        <f aca="false">IF(A8="","",COUNTIF(Incidencias!$B$2:$B$151,A8))</f>
        <v>0</v>
      </c>
      <c r="Q8" s="13" t="n">
        <f aca="false">IF(A8="","",COUNTIFS(Incidencias!$B$2:$B$151,A8,Incidencias!$F$2:$F$151,"Abierta"))</f>
        <v>0</v>
      </c>
      <c r="R8" s="21" t="n">
        <f aca="false">IF(L8="Sí",H8-I8,IF(A8="","",0))</f>
        <v>0</v>
      </c>
      <c r="S8" s="13" t="str">
        <f aca="false">IF(AND(J8="Entregado",F8&lt;&gt;"",G8&lt;&gt;""),IF(G8&lt;=F8,"Sí","No"),"")</f>
        <v/>
      </c>
      <c r="T8" s="13" t="str">
        <f aca="false">IF(A8="","",IF(K8="Cliente no registrado","Cliente sin dar de alta",IF(F8="","Falta fecha prevista",IF(AND(J8="Entregado",G8=""),"Entregado sin fecha de entrega",IF(ISNA(MATCH(J8,Inicio!$Z$1:$Z$6,0)),"Estado no reconocido",IF(F8&lt;C8,"Prevista anterior al pedido",IF(AND(G8&lt;&gt;"",G8&lt;C8),"Entrega anterior al pedido","")))))))</f>
        <v/>
      </c>
      <c r="U8" s="13" t="str">
        <f aca="false">IF(L8&lt;&gt;"Sí","",IF(M8="Dato pendiente","Poner fecha prevista y avisar al cliente",IF(M8="En plazo","Seguimiento normal",IF(J8="Listo para recoger","Recordar la recogida al cliente",IF(J8="Esperando pieza","Pedir fecha al proveedor y avisar al cliente",IF(J8="En taller","Revisar con el taller","Confirmar el pedido con el proveedor"))))))</f>
        <v/>
      </c>
      <c r="V8" s="29" t="str">
        <f aca="false">IF(M8="Dato pendiente",1000+ROW()/10000,IF(M8="Fuera de plazo",N8+ROW()/10000,""))</f>
        <v/>
      </c>
      <c r="W8" s="30" t="str">
        <f aca="false">IF(T8="","",ROW())</f>
        <v/>
      </c>
    </row>
    <row r="9" customFormat="false" ht="15" hidden="false" customHeight="false" outlineLevel="0" collapsed="false">
      <c r="A9" s="13" t="s">
        <v>124</v>
      </c>
      <c r="B9" s="13" t="s">
        <v>108</v>
      </c>
      <c r="C9" s="28" t="n">
        <v>46181</v>
      </c>
      <c r="D9" s="13" t="s">
        <v>71</v>
      </c>
      <c r="E9" s="13" t="s">
        <v>125</v>
      </c>
      <c r="F9" s="28" t="n">
        <v>46185</v>
      </c>
      <c r="G9" s="28"/>
      <c r="H9" s="21" t="n">
        <v>219</v>
      </c>
      <c r="I9" s="21" t="n">
        <v>0</v>
      </c>
      <c r="J9" s="13" t="s">
        <v>8</v>
      </c>
      <c r="K9" s="13" t="str">
        <f aca="false">IF(A9="","",IFERROR(INDEX(Clientes!$B$2:$B$200,MATCH(B9,Clientes!$A$2:$A$200,0)),"Cliente no registrado"))</f>
        <v>Raúl Herrero Campos</v>
      </c>
      <c r="L9" s="13" t="str">
        <f aca="false">IF(A9="","",IF(OR(J9="Entregado",J9="Anulado"),"No","Sí"))</f>
        <v>No</v>
      </c>
      <c r="M9" s="13" t="str">
        <f aca="false">IF(A9="","",IF(J9="Entregado","Entregado",IF(J9="Anulado","Anulado",IF(F9="","Dato pendiente",IF(F9&lt;Control!$C$4,"Fuera de plazo","En plazo")))))</f>
        <v>Anulado</v>
      </c>
      <c r="N9" s="13" t="str">
        <f aca="false">IF(M9="Fuera de plazo",Control!$C$4-F9,"")</f>
        <v/>
      </c>
      <c r="O9" s="13" t="str">
        <f aca="false">IF(M9="Fuera de plazo",IF(J9="Listo para recoger","Cliente (no recoge)","Tienda o proveedor"),"")</f>
        <v/>
      </c>
      <c r="P9" s="13" t="n">
        <f aca="false">IF(A9="","",COUNTIF(Incidencias!$B$2:$B$151,A9))</f>
        <v>0</v>
      </c>
      <c r="Q9" s="13" t="n">
        <f aca="false">IF(A9="","",COUNTIFS(Incidencias!$B$2:$B$151,A9,Incidencias!$F$2:$F$151,"Abierta"))</f>
        <v>0</v>
      </c>
      <c r="R9" s="21" t="n">
        <f aca="false">IF(L9="Sí",H9-I9,IF(A9="","",0))</f>
        <v>0</v>
      </c>
      <c r="S9" s="13" t="str">
        <f aca="false">IF(AND(J9="Entregado",F9&lt;&gt;"",G9&lt;&gt;""),IF(G9&lt;=F9,"Sí","No"),"")</f>
        <v/>
      </c>
      <c r="T9" s="13" t="str">
        <f aca="false">IF(A9="","",IF(K9="Cliente no registrado","Cliente sin dar de alta",IF(F9="","Falta fecha prevista",IF(AND(J9="Entregado",G9=""),"Entregado sin fecha de entrega",IF(ISNA(MATCH(J9,Inicio!$Z$1:$Z$6,0)),"Estado no reconocido",IF(F9&lt;C9,"Prevista anterior al pedido",IF(AND(G9&lt;&gt;"",G9&lt;C9),"Entrega anterior al pedido","")))))))</f>
        <v/>
      </c>
      <c r="U9" s="13" t="str">
        <f aca="false">IF(L9&lt;&gt;"Sí","",IF(M9="Dato pendiente","Poner fecha prevista y avisar al cliente",IF(M9="En plazo","Seguimiento normal",IF(J9="Listo para recoger","Recordar la recogida al cliente",IF(J9="Esperando pieza","Pedir fecha al proveedor y avisar al cliente",IF(J9="En taller","Revisar con el taller","Confirmar el pedido con el proveedor"))))))</f>
        <v/>
      </c>
      <c r="V9" s="29" t="str">
        <f aca="false">IF(M9="Dato pendiente",1000+ROW()/10000,IF(M9="Fuera de plazo",N9+ROW()/10000,""))</f>
        <v/>
      </c>
      <c r="W9" s="30" t="str">
        <f aca="false">IF(T9="","",ROW())</f>
        <v/>
      </c>
    </row>
    <row r="10" customFormat="false" ht="15" hidden="false" customHeight="false" outlineLevel="0" collapsed="false">
      <c r="A10" s="13" t="s">
        <v>126</v>
      </c>
      <c r="B10" s="13" t="s">
        <v>122</v>
      </c>
      <c r="C10" s="28" t="n">
        <v>46183</v>
      </c>
      <c r="D10" s="13" t="s">
        <v>69</v>
      </c>
      <c r="E10" s="13" t="s">
        <v>109</v>
      </c>
      <c r="F10" s="28" t="n">
        <v>46192</v>
      </c>
      <c r="G10" s="28" t="n">
        <v>46206</v>
      </c>
      <c r="H10" s="21" t="n">
        <v>249</v>
      </c>
      <c r="I10" s="21" t="n">
        <v>124.5</v>
      </c>
      <c r="J10" s="13" t="s">
        <v>7</v>
      </c>
      <c r="K10" s="13" t="str">
        <f aca="false">IF(A10="","",IFERROR(INDEX(Clientes!$B$2:$B$200,MATCH(B10,Clientes!$A$2:$A$200,0)),"Cliente no registrado"))</f>
        <v>Javier Soto Herrera</v>
      </c>
      <c r="L10" s="13" t="str">
        <f aca="false">IF(A10="","",IF(OR(J10="Entregado",J10="Anulado"),"No","Sí"))</f>
        <v>No</v>
      </c>
      <c r="M10" s="13" t="str">
        <f aca="false">IF(A10="","",IF(J10="Entregado","Entregado",IF(J10="Anulado","Anulado",IF(F10="","Dato pendiente",IF(F10&lt;Control!$C$4,"Fuera de plazo","En plazo")))))</f>
        <v>Entregado</v>
      </c>
      <c r="N10" s="13" t="str">
        <f aca="false">IF(M10="Fuera de plazo",Control!$C$4-F10,"")</f>
        <v/>
      </c>
      <c r="O10" s="13" t="str">
        <f aca="false">IF(M10="Fuera de plazo",IF(J10="Listo para recoger","Cliente (no recoge)","Tienda o proveedor"),"")</f>
        <v/>
      </c>
      <c r="P10" s="13" t="n">
        <f aca="false">IF(A10="","",COUNTIF(Incidencias!$B$2:$B$151,A10))</f>
        <v>1</v>
      </c>
      <c r="Q10" s="13" t="n">
        <f aca="false">IF(A10="","",COUNTIFS(Incidencias!$B$2:$B$151,A10,Incidencias!$F$2:$F$151,"Abierta"))</f>
        <v>0</v>
      </c>
      <c r="R10" s="21" t="n">
        <f aca="false">IF(L10="Sí",H10-I10,IF(A10="","",0))</f>
        <v>0</v>
      </c>
      <c r="S10" s="13" t="str">
        <f aca="false">IF(AND(J10="Entregado",F10&lt;&gt;"",G10&lt;&gt;""),IF(G10&lt;=F10,"Sí","No"),"")</f>
        <v>No</v>
      </c>
      <c r="T10" s="13" t="str">
        <f aca="false">IF(A10="","",IF(K10="Cliente no registrado","Cliente sin dar de alta",IF(F10="","Falta fecha prevista",IF(AND(J10="Entregado",G10=""),"Entregado sin fecha de entrega",IF(ISNA(MATCH(J10,Inicio!$Z$1:$Z$6,0)),"Estado no reconocido",IF(F10&lt;C10,"Prevista anterior al pedido",IF(AND(G10&lt;&gt;"",G10&lt;C10),"Entrega anterior al pedido","")))))))</f>
        <v/>
      </c>
      <c r="U10" s="13" t="str">
        <f aca="false">IF(L10&lt;&gt;"Sí","",IF(M10="Dato pendiente","Poner fecha prevista y avisar al cliente",IF(M10="En plazo","Seguimiento normal",IF(J10="Listo para recoger","Recordar la recogida al cliente",IF(J10="Esperando pieza","Pedir fecha al proveedor y avisar al cliente",IF(J10="En taller","Revisar con el taller","Confirmar el pedido con el proveedor"))))))</f>
        <v/>
      </c>
      <c r="V10" s="29" t="str">
        <f aca="false">IF(M10="Dato pendiente",1000+ROW()/10000,IF(M10="Fuera de plazo",N10+ROW()/10000,""))</f>
        <v/>
      </c>
      <c r="W10" s="30" t="str">
        <f aca="false">IF(T10="","",ROW())</f>
        <v/>
      </c>
    </row>
    <row r="11" customFormat="false" ht="15" hidden="false" customHeight="false" outlineLevel="0" collapsed="false">
      <c r="A11" s="13" t="s">
        <v>127</v>
      </c>
      <c r="B11" s="13" t="s">
        <v>128</v>
      </c>
      <c r="C11" s="28" t="n">
        <v>46183</v>
      </c>
      <c r="D11" s="13" t="s">
        <v>72</v>
      </c>
      <c r="E11" s="13" t="s">
        <v>129</v>
      </c>
      <c r="F11" s="28" t="n">
        <v>46186</v>
      </c>
      <c r="G11" s="28" t="n">
        <v>46188</v>
      </c>
      <c r="H11" s="21" t="n">
        <v>258</v>
      </c>
      <c r="I11" s="21" t="n">
        <v>0</v>
      </c>
      <c r="J11" s="13" t="s">
        <v>7</v>
      </c>
      <c r="K11" s="13" t="str">
        <f aca="false">IF(A11="","",IFERROR(INDEX(Clientes!$B$2:$B$200,MATCH(B11,Clientes!$A$2:$A$200,0)),"Cliente no registrado"))</f>
        <v>Andrea Castillo Pérez</v>
      </c>
      <c r="L11" s="13" t="str">
        <f aca="false">IF(A11="","",IF(OR(J11="Entregado",J11="Anulado"),"No","Sí"))</f>
        <v>No</v>
      </c>
      <c r="M11" s="13" t="str">
        <f aca="false">IF(A11="","",IF(J11="Entregado","Entregado",IF(J11="Anulado","Anulado",IF(F11="","Dato pendiente",IF(F11&lt;Control!$C$4,"Fuera de plazo","En plazo")))))</f>
        <v>Entregado</v>
      </c>
      <c r="N11" s="13" t="str">
        <f aca="false">IF(M11="Fuera de plazo",Control!$C$4-F11,"")</f>
        <v/>
      </c>
      <c r="O11" s="13" t="str">
        <f aca="false">IF(M11="Fuera de plazo",IF(J11="Listo para recoger","Cliente (no recoge)","Tienda o proveedor"),"")</f>
        <v/>
      </c>
      <c r="P11" s="13" t="n">
        <f aca="false">IF(A11="","",COUNTIF(Incidencias!$B$2:$B$151,A11))</f>
        <v>0</v>
      </c>
      <c r="Q11" s="13" t="n">
        <f aca="false">IF(A11="","",COUNTIFS(Incidencias!$B$2:$B$151,A11,Incidencias!$F$2:$F$151,"Abierta"))</f>
        <v>0</v>
      </c>
      <c r="R11" s="21" t="n">
        <f aca="false">IF(L11="Sí",H11-I11,IF(A11="","",0))</f>
        <v>0</v>
      </c>
      <c r="S11" s="13" t="str">
        <f aca="false">IF(AND(J11="Entregado",F11&lt;&gt;"",G11&lt;&gt;""),IF(G11&lt;=F11,"Sí","No"),"")</f>
        <v>No</v>
      </c>
      <c r="T11" s="13" t="str">
        <f aca="false">IF(A11="","",IF(K11="Cliente no registrado","Cliente sin dar de alta",IF(F11="","Falta fecha prevista",IF(AND(J11="Entregado",G11=""),"Entregado sin fecha de entrega",IF(ISNA(MATCH(J11,Inicio!$Z$1:$Z$6,0)),"Estado no reconocido",IF(F11&lt;C11,"Prevista anterior al pedido",IF(AND(G11&lt;&gt;"",G11&lt;C11),"Entrega anterior al pedido","")))))))</f>
        <v/>
      </c>
      <c r="U11" s="13" t="str">
        <f aca="false">IF(L11&lt;&gt;"Sí","",IF(M11="Dato pendiente","Poner fecha prevista y avisar al cliente",IF(M11="En plazo","Seguimiento normal",IF(J11="Listo para recoger","Recordar la recogida al cliente",IF(J11="Esperando pieza","Pedir fecha al proveedor y avisar al cliente",IF(J11="En taller","Revisar con el taller","Confirmar el pedido con el proveedor"))))))</f>
        <v/>
      </c>
      <c r="V11" s="29" t="str">
        <f aca="false">IF(M11="Dato pendiente",1000+ROW()/10000,IF(M11="Fuera de plazo",N11+ROW()/10000,""))</f>
        <v/>
      </c>
      <c r="W11" s="30" t="str">
        <f aca="false">IF(T11="","",ROW())</f>
        <v/>
      </c>
    </row>
    <row r="12" customFormat="false" ht="15" hidden="false" customHeight="false" outlineLevel="0" collapsed="false">
      <c r="A12" s="13" t="s">
        <v>130</v>
      </c>
      <c r="B12" s="13" t="s">
        <v>131</v>
      </c>
      <c r="C12" s="28" t="n">
        <v>46183</v>
      </c>
      <c r="D12" s="13" t="s">
        <v>69</v>
      </c>
      <c r="E12" s="13" t="s">
        <v>132</v>
      </c>
      <c r="F12" s="28" t="n">
        <v>46189</v>
      </c>
      <c r="G12" s="28" t="n">
        <v>46195</v>
      </c>
      <c r="H12" s="21" t="n">
        <v>279</v>
      </c>
      <c r="I12" s="21" t="n">
        <v>50</v>
      </c>
      <c r="J12" s="13" t="s">
        <v>7</v>
      </c>
      <c r="K12" s="13" t="str">
        <f aca="false">IF(A12="","",IFERROR(INDEX(Clientes!$B$2:$B$200,MATCH(B12,Clientes!$A$2:$A$200,0)),"Cliente no registrado"))</f>
        <v>Sergio Domínguez Rey</v>
      </c>
      <c r="L12" s="13" t="str">
        <f aca="false">IF(A12="","",IF(OR(J12="Entregado",J12="Anulado"),"No","Sí"))</f>
        <v>No</v>
      </c>
      <c r="M12" s="13" t="str">
        <f aca="false">IF(A12="","",IF(J12="Entregado","Entregado",IF(J12="Anulado","Anulado",IF(F12="","Dato pendiente",IF(F12&lt;Control!$C$4,"Fuera de plazo","En plazo")))))</f>
        <v>Entregado</v>
      </c>
      <c r="N12" s="13" t="str">
        <f aca="false">IF(M12="Fuera de plazo",Control!$C$4-F12,"")</f>
        <v/>
      </c>
      <c r="O12" s="13" t="str">
        <f aca="false">IF(M12="Fuera de plazo",IF(J12="Listo para recoger","Cliente (no recoge)","Tienda o proveedor"),"")</f>
        <v/>
      </c>
      <c r="P12" s="13" t="n">
        <f aca="false">IF(A12="","",COUNTIF(Incidencias!$B$2:$B$151,A12))</f>
        <v>2</v>
      </c>
      <c r="Q12" s="13" t="n">
        <f aca="false">IF(A12="","",COUNTIFS(Incidencias!$B$2:$B$151,A12,Incidencias!$F$2:$F$151,"Abierta"))</f>
        <v>0</v>
      </c>
      <c r="R12" s="21" t="n">
        <f aca="false">IF(L12="Sí",H12-I12,IF(A12="","",0))</f>
        <v>0</v>
      </c>
      <c r="S12" s="13" t="str">
        <f aca="false">IF(AND(J12="Entregado",F12&lt;&gt;"",G12&lt;&gt;""),IF(G12&lt;=F12,"Sí","No"),"")</f>
        <v>No</v>
      </c>
      <c r="T12" s="13" t="str">
        <f aca="false">IF(A12="","",IF(K12="Cliente no registrado","Cliente sin dar de alta",IF(F12="","Falta fecha prevista",IF(AND(J12="Entregado",G12=""),"Entregado sin fecha de entrega",IF(ISNA(MATCH(J12,Inicio!$Z$1:$Z$6,0)),"Estado no reconocido",IF(F12&lt;C12,"Prevista anterior al pedido",IF(AND(G12&lt;&gt;"",G12&lt;C12),"Entrega anterior al pedido","")))))))</f>
        <v/>
      </c>
      <c r="U12" s="13" t="str">
        <f aca="false">IF(L12&lt;&gt;"Sí","",IF(M12="Dato pendiente","Poner fecha prevista y avisar al cliente",IF(M12="En plazo","Seguimiento normal",IF(J12="Listo para recoger","Recordar la recogida al cliente",IF(J12="Esperando pieza","Pedir fecha al proveedor y avisar al cliente",IF(J12="En taller","Revisar con el taller","Confirmar el pedido con el proveedor"))))))</f>
        <v/>
      </c>
      <c r="V12" s="29" t="str">
        <f aca="false">IF(M12="Dato pendiente",1000+ROW()/10000,IF(M12="Fuera de plazo",N12+ROW()/10000,""))</f>
        <v/>
      </c>
      <c r="W12" s="30" t="str">
        <f aca="false">IF(T12="","",ROW())</f>
        <v/>
      </c>
    </row>
    <row r="13" customFormat="false" ht="15" hidden="false" customHeight="false" outlineLevel="0" collapsed="false">
      <c r="A13" s="13" t="s">
        <v>133</v>
      </c>
      <c r="B13" s="13" t="s">
        <v>134</v>
      </c>
      <c r="C13" s="28" t="n">
        <v>46184</v>
      </c>
      <c r="D13" s="13" t="s">
        <v>67</v>
      </c>
      <c r="E13" s="13" t="s">
        <v>135</v>
      </c>
      <c r="F13" s="28" t="n">
        <v>46188</v>
      </c>
      <c r="G13" s="28"/>
      <c r="H13" s="21" t="n">
        <v>115</v>
      </c>
      <c r="I13" s="21" t="n">
        <v>0</v>
      </c>
      <c r="J13" s="13" t="s">
        <v>5</v>
      </c>
      <c r="K13" s="13" t="str">
        <f aca="false">IF(A13="","",IFERROR(INDEX(Clientes!$B$2:$B$200,MATCH(B13,Clientes!$A$2:$A$200,0)),"Cliente no registrado"))</f>
        <v>Manuel Cabrera Vidal</v>
      </c>
      <c r="L13" s="13" t="str">
        <f aca="false">IF(A13="","",IF(OR(J13="Entregado",J13="Anulado"),"No","Sí"))</f>
        <v>Sí</v>
      </c>
      <c r="M13" s="13" t="str">
        <f aca="false">IF(A13="","",IF(J13="Entregado","Entregado",IF(J13="Anulado","Anulado",IF(F13="","Dato pendiente",IF(F13&lt;Control!$C$4,"Fuera de plazo","En plazo")))))</f>
        <v>Fuera de plazo</v>
      </c>
      <c r="N13" s="13" t="n">
        <f aca="false">IF(M13="Fuera de plazo",Control!$C$4-F13,"")</f>
        <v>102</v>
      </c>
      <c r="O13" s="13" t="str">
        <f aca="false">IF(M13="Fuera de plazo",IF(J13="Listo para recoger","Cliente (no recoge)","Tienda o proveedor"),"")</f>
        <v>Cliente (no recoge)</v>
      </c>
      <c r="P13" s="13" t="n">
        <f aca="false">IF(A13="","",COUNTIF(Incidencias!$B$2:$B$151,A13))</f>
        <v>1</v>
      </c>
      <c r="Q13" s="13" t="n">
        <f aca="false">IF(A13="","",COUNTIFS(Incidencias!$B$2:$B$151,A13,Incidencias!$F$2:$F$151,"Abierta"))</f>
        <v>1</v>
      </c>
      <c r="R13" s="21" t="n">
        <f aca="false">IF(L13="Sí",H13-I13,IF(A13="","",0))</f>
        <v>115</v>
      </c>
      <c r="S13" s="13" t="str">
        <f aca="false">IF(AND(J13="Entregado",F13&lt;&gt;"",G13&lt;&gt;""),IF(G13&lt;=F13,"Sí","No"),"")</f>
        <v/>
      </c>
      <c r="T13" s="13" t="str">
        <f aca="false">IF(A13="","",IF(K13="Cliente no registrado","Cliente sin dar de alta",IF(F13="","Falta fecha prevista",IF(AND(J13="Entregado",G13=""),"Entregado sin fecha de entrega",IF(ISNA(MATCH(J13,Inicio!$Z$1:$Z$6,0)),"Estado no reconocido",IF(F13&lt;C13,"Prevista anterior al pedido",IF(AND(G13&lt;&gt;"",G13&lt;C13),"Entrega anterior al pedido","")))))))</f>
        <v/>
      </c>
      <c r="U13" s="13" t="str">
        <f aca="false">IF(L13&lt;&gt;"Sí","",IF(M13="Dato pendiente","Poner fecha prevista y avisar al cliente",IF(M13="En plazo","Seguimiento normal",IF(J13="Listo para recoger","Recordar la recogida al cliente",IF(J13="Esperando pieza","Pedir fecha al proveedor y avisar al cliente",IF(J13="En taller","Revisar con el taller","Confirmar el pedido con el proveedor"))))))</f>
        <v>Recordar la recogida al cliente</v>
      </c>
      <c r="V13" s="29" t="n">
        <f aca="false">IF(M13="Dato pendiente",1000+ROW()/10000,IF(M13="Fuera de plazo",N13+ROW()/10000,""))</f>
        <v>102.0013</v>
      </c>
      <c r="W13" s="30" t="str">
        <f aca="false">IF(T13="","",ROW())</f>
        <v/>
      </c>
    </row>
    <row r="14" customFormat="false" ht="15" hidden="false" customHeight="false" outlineLevel="0" collapsed="false">
      <c r="A14" s="13" t="s">
        <v>136</v>
      </c>
      <c r="B14" s="13" t="s">
        <v>137</v>
      </c>
      <c r="C14" s="28" t="n">
        <v>46186</v>
      </c>
      <c r="D14" s="13" t="s">
        <v>68</v>
      </c>
      <c r="E14" s="13" t="s">
        <v>138</v>
      </c>
      <c r="F14" s="28" t="n">
        <v>46193</v>
      </c>
      <c r="G14" s="28" t="n">
        <v>46195</v>
      </c>
      <c r="H14" s="21" t="n">
        <v>1489</v>
      </c>
      <c r="I14" s="21" t="n">
        <v>750</v>
      </c>
      <c r="J14" s="13" t="s">
        <v>7</v>
      </c>
      <c r="K14" s="13" t="str">
        <f aca="false">IF(A14="","",IFERROR(INDEX(Clientes!$B$2:$B$200,MATCH(B14,Clientes!$A$2:$A$200,0)),"Cliente no registrado"))</f>
        <v>Nerea Fuentes Cano</v>
      </c>
      <c r="L14" s="13" t="str">
        <f aca="false">IF(A14="","",IF(OR(J14="Entregado",J14="Anulado"),"No","Sí"))</f>
        <v>No</v>
      </c>
      <c r="M14" s="13" t="str">
        <f aca="false">IF(A14="","",IF(J14="Entregado","Entregado",IF(J14="Anulado","Anulado",IF(F14="","Dato pendiente",IF(F14&lt;Control!$C$4,"Fuera de plazo","En plazo")))))</f>
        <v>Entregado</v>
      </c>
      <c r="N14" s="13" t="str">
        <f aca="false">IF(M14="Fuera de plazo",Control!$C$4-F14,"")</f>
        <v/>
      </c>
      <c r="O14" s="13" t="str">
        <f aca="false">IF(M14="Fuera de plazo",IF(J14="Listo para recoger","Cliente (no recoge)","Tienda o proveedor"),"")</f>
        <v/>
      </c>
      <c r="P14" s="13" t="n">
        <f aca="false">IF(A14="","",COUNTIF(Incidencias!$B$2:$B$151,A14))</f>
        <v>0</v>
      </c>
      <c r="Q14" s="13" t="n">
        <f aca="false">IF(A14="","",COUNTIFS(Incidencias!$B$2:$B$151,A14,Incidencias!$F$2:$F$151,"Abierta"))</f>
        <v>0</v>
      </c>
      <c r="R14" s="21" t="n">
        <f aca="false">IF(L14="Sí",H14-I14,IF(A14="","",0))</f>
        <v>0</v>
      </c>
      <c r="S14" s="13" t="str">
        <f aca="false">IF(AND(J14="Entregado",F14&lt;&gt;"",G14&lt;&gt;""),IF(G14&lt;=F14,"Sí","No"),"")</f>
        <v>No</v>
      </c>
      <c r="T14" s="13" t="str">
        <f aca="false">IF(A14="","",IF(K14="Cliente no registrado","Cliente sin dar de alta",IF(F14="","Falta fecha prevista",IF(AND(J14="Entregado",G14=""),"Entregado sin fecha de entrega",IF(ISNA(MATCH(J14,Inicio!$Z$1:$Z$6,0)),"Estado no reconocido",IF(F14&lt;C14,"Prevista anterior al pedido",IF(AND(G14&lt;&gt;"",G14&lt;C14),"Entrega anterior al pedido","")))))))</f>
        <v/>
      </c>
      <c r="U14" s="13" t="str">
        <f aca="false">IF(L14&lt;&gt;"Sí","",IF(M14="Dato pendiente","Poner fecha prevista y avisar al cliente",IF(M14="En plazo","Seguimiento normal",IF(J14="Listo para recoger","Recordar la recogida al cliente",IF(J14="Esperando pieza","Pedir fecha al proveedor y avisar al cliente",IF(J14="En taller","Revisar con el taller","Confirmar el pedido con el proveedor"))))))</f>
        <v/>
      </c>
      <c r="V14" s="29" t="str">
        <f aca="false">IF(M14="Dato pendiente",1000+ROW()/10000,IF(M14="Fuera de plazo",N14+ROW()/10000,""))</f>
        <v/>
      </c>
      <c r="W14" s="30" t="str">
        <f aca="false">IF(T14="","",ROW())</f>
        <v/>
      </c>
    </row>
    <row r="15" customFormat="false" ht="15" hidden="false" customHeight="false" outlineLevel="0" collapsed="false">
      <c r="A15" s="13" t="s">
        <v>139</v>
      </c>
      <c r="B15" s="13" t="s">
        <v>131</v>
      </c>
      <c r="C15" s="28" t="n">
        <v>46186</v>
      </c>
      <c r="D15" s="13" t="s">
        <v>72</v>
      </c>
      <c r="E15" s="13" t="s">
        <v>140</v>
      </c>
      <c r="F15" s="28" t="n">
        <v>46189</v>
      </c>
      <c r="G15" s="28" t="n">
        <v>46189</v>
      </c>
      <c r="H15" s="21" t="n">
        <v>99.9</v>
      </c>
      <c r="I15" s="21" t="n">
        <v>20</v>
      </c>
      <c r="J15" s="13" t="s">
        <v>7</v>
      </c>
      <c r="K15" s="13" t="str">
        <f aca="false">IF(A15="","",IFERROR(INDEX(Clientes!$B$2:$B$200,MATCH(B15,Clientes!$A$2:$A$200,0)),"Cliente no registrado"))</f>
        <v>Sergio Domínguez Rey</v>
      </c>
      <c r="L15" s="13" t="str">
        <f aca="false">IF(A15="","",IF(OR(J15="Entregado",J15="Anulado"),"No","Sí"))</f>
        <v>No</v>
      </c>
      <c r="M15" s="13" t="str">
        <f aca="false">IF(A15="","",IF(J15="Entregado","Entregado",IF(J15="Anulado","Anulado",IF(F15="","Dato pendiente",IF(F15&lt;Control!$C$4,"Fuera de plazo","En plazo")))))</f>
        <v>Entregado</v>
      </c>
      <c r="N15" s="13" t="str">
        <f aca="false">IF(M15="Fuera de plazo",Control!$C$4-F15,"")</f>
        <v/>
      </c>
      <c r="O15" s="13" t="str">
        <f aca="false">IF(M15="Fuera de plazo",IF(J15="Listo para recoger","Cliente (no recoge)","Tienda o proveedor"),"")</f>
        <v/>
      </c>
      <c r="P15" s="13" t="n">
        <f aca="false">IF(A15="","",COUNTIF(Incidencias!$B$2:$B$151,A15))</f>
        <v>0</v>
      </c>
      <c r="Q15" s="13" t="n">
        <f aca="false">IF(A15="","",COUNTIFS(Incidencias!$B$2:$B$151,A15,Incidencias!$F$2:$F$151,"Abierta"))</f>
        <v>0</v>
      </c>
      <c r="R15" s="21" t="n">
        <f aca="false">IF(L15="Sí",H15-I15,IF(A15="","",0))</f>
        <v>0</v>
      </c>
      <c r="S15" s="13" t="str">
        <f aca="false">IF(AND(J15="Entregado",F15&lt;&gt;"",G15&lt;&gt;""),IF(G15&lt;=F15,"Sí","No"),"")</f>
        <v>Sí</v>
      </c>
      <c r="T15" s="13" t="str">
        <f aca="false">IF(A15="","",IF(K15="Cliente no registrado","Cliente sin dar de alta",IF(F15="","Falta fecha prevista",IF(AND(J15="Entregado",G15=""),"Entregado sin fecha de entrega",IF(ISNA(MATCH(J15,Inicio!$Z$1:$Z$6,0)),"Estado no reconocido",IF(F15&lt;C15,"Prevista anterior al pedido",IF(AND(G15&lt;&gt;"",G15&lt;C15),"Entrega anterior al pedido","")))))))</f>
        <v/>
      </c>
      <c r="U15" s="13" t="str">
        <f aca="false">IF(L15&lt;&gt;"Sí","",IF(M15="Dato pendiente","Poner fecha prevista y avisar al cliente",IF(M15="En plazo","Seguimiento normal",IF(J15="Listo para recoger","Recordar la recogida al cliente",IF(J15="Esperando pieza","Pedir fecha al proveedor y avisar al cliente",IF(J15="En taller","Revisar con el taller","Confirmar el pedido con el proveedor"))))))</f>
        <v/>
      </c>
      <c r="V15" s="29" t="str">
        <f aca="false">IF(M15="Dato pendiente",1000+ROW()/10000,IF(M15="Fuera de plazo",N15+ROW()/10000,""))</f>
        <v/>
      </c>
      <c r="W15" s="30" t="str">
        <f aca="false">IF(T15="","",ROW())</f>
        <v/>
      </c>
    </row>
    <row r="16" customFormat="false" ht="15" hidden="false" customHeight="false" outlineLevel="0" collapsed="false">
      <c r="A16" s="13" t="s">
        <v>141</v>
      </c>
      <c r="B16" s="13" t="s">
        <v>142</v>
      </c>
      <c r="C16" s="28" t="n">
        <v>46190</v>
      </c>
      <c r="D16" s="13" t="s">
        <v>69</v>
      </c>
      <c r="E16" s="13" t="s">
        <v>143</v>
      </c>
      <c r="F16" s="28" t="n">
        <v>46200</v>
      </c>
      <c r="G16" s="28" t="n">
        <v>46200</v>
      </c>
      <c r="H16" s="21" t="n">
        <v>649</v>
      </c>
      <c r="I16" s="21" t="n">
        <v>649</v>
      </c>
      <c r="J16" s="13" t="s">
        <v>7</v>
      </c>
      <c r="K16" s="13" t="str">
        <f aca="false">IF(A16="","",IFERROR(INDEX(Clientes!$B$2:$B$200,MATCH(B16,Clientes!$A$2:$A$200,0)),"Cliente no registrado"))</f>
        <v>Álvaro Prieto Lozano</v>
      </c>
      <c r="L16" s="13" t="str">
        <f aca="false">IF(A16="","",IF(OR(J16="Entregado",J16="Anulado"),"No","Sí"))</f>
        <v>No</v>
      </c>
      <c r="M16" s="13" t="str">
        <f aca="false">IF(A16="","",IF(J16="Entregado","Entregado",IF(J16="Anulado","Anulado",IF(F16="","Dato pendiente",IF(F16&lt;Control!$C$4,"Fuera de plazo","En plazo")))))</f>
        <v>Entregado</v>
      </c>
      <c r="N16" s="13" t="str">
        <f aca="false">IF(M16="Fuera de plazo",Control!$C$4-F16,"")</f>
        <v/>
      </c>
      <c r="O16" s="13" t="str">
        <f aca="false">IF(M16="Fuera de plazo",IF(J16="Listo para recoger","Cliente (no recoge)","Tienda o proveedor"),"")</f>
        <v/>
      </c>
      <c r="P16" s="13" t="n">
        <f aca="false">IF(A16="","",COUNTIF(Incidencias!$B$2:$B$151,A16))</f>
        <v>0</v>
      </c>
      <c r="Q16" s="13" t="n">
        <f aca="false">IF(A16="","",COUNTIFS(Incidencias!$B$2:$B$151,A16,Incidencias!$F$2:$F$151,"Abierta"))</f>
        <v>0</v>
      </c>
      <c r="R16" s="21" t="n">
        <f aca="false">IF(L16="Sí",H16-I16,IF(A16="","",0))</f>
        <v>0</v>
      </c>
      <c r="S16" s="13" t="str">
        <f aca="false">IF(AND(J16="Entregado",F16&lt;&gt;"",G16&lt;&gt;""),IF(G16&lt;=F16,"Sí","No"),"")</f>
        <v>Sí</v>
      </c>
      <c r="T16" s="13" t="str">
        <f aca="false">IF(A16="","",IF(K16="Cliente no registrado","Cliente sin dar de alta",IF(F16="","Falta fecha prevista",IF(AND(J16="Entregado",G16=""),"Entregado sin fecha de entrega",IF(ISNA(MATCH(J16,Inicio!$Z$1:$Z$6,0)),"Estado no reconocido",IF(F16&lt;C16,"Prevista anterior al pedido",IF(AND(G16&lt;&gt;"",G16&lt;C16),"Entrega anterior al pedido","")))))))</f>
        <v/>
      </c>
      <c r="U16" s="13" t="str">
        <f aca="false">IF(L16&lt;&gt;"Sí","",IF(M16="Dato pendiente","Poner fecha prevista y avisar al cliente",IF(M16="En plazo","Seguimiento normal",IF(J16="Listo para recoger","Recordar la recogida al cliente",IF(J16="Esperando pieza","Pedir fecha al proveedor y avisar al cliente",IF(J16="En taller","Revisar con el taller","Confirmar el pedido con el proveedor"))))))</f>
        <v/>
      </c>
      <c r="V16" s="29" t="str">
        <f aca="false">IF(M16="Dato pendiente",1000+ROW()/10000,IF(M16="Fuera de plazo",N16+ROW()/10000,""))</f>
        <v/>
      </c>
      <c r="W16" s="30" t="str">
        <f aca="false">IF(T16="","",ROW())</f>
        <v/>
      </c>
    </row>
    <row r="17" customFormat="false" ht="15" hidden="false" customHeight="false" outlineLevel="0" collapsed="false">
      <c r="A17" s="13" t="s">
        <v>144</v>
      </c>
      <c r="B17" s="13" t="s">
        <v>108</v>
      </c>
      <c r="C17" s="28" t="n">
        <v>46192</v>
      </c>
      <c r="D17" s="13" t="s">
        <v>67</v>
      </c>
      <c r="E17" s="13" t="s">
        <v>120</v>
      </c>
      <c r="F17" s="28" t="n">
        <v>46197</v>
      </c>
      <c r="G17" s="28" t="n">
        <v>46206</v>
      </c>
      <c r="H17" s="21" t="n">
        <v>95</v>
      </c>
      <c r="I17" s="21" t="n">
        <v>0</v>
      </c>
      <c r="J17" s="13" t="s">
        <v>7</v>
      </c>
      <c r="K17" s="13" t="str">
        <f aca="false">IF(A17="","",IFERROR(INDEX(Clientes!$B$2:$B$200,MATCH(B17,Clientes!$A$2:$A$200,0)),"Cliente no registrado"))</f>
        <v>Raúl Herrero Campos</v>
      </c>
      <c r="L17" s="13" t="str">
        <f aca="false">IF(A17="","",IF(OR(J17="Entregado",J17="Anulado"),"No","Sí"))</f>
        <v>No</v>
      </c>
      <c r="M17" s="13" t="str">
        <f aca="false">IF(A17="","",IF(J17="Entregado","Entregado",IF(J17="Anulado","Anulado",IF(F17="","Dato pendiente",IF(F17&lt;Control!$C$4,"Fuera de plazo","En plazo")))))</f>
        <v>Entregado</v>
      </c>
      <c r="N17" s="13" t="str">
        <f aca="false">IF(M17="Fuera de plazo",Control!$C$4-F17,"")</f>
        <v/>
      </c>
      <c r="O17" s="13" t="str">
        <f aca="false">IF(M17="Fuera de plazo",IF(J17="Listo para recoger","Cliente (no recoge)","Tienda o proveedor"),"")</f>
        <v/>
      </c>
      <c r="P17" s="13" t="n">
        <f aca="false">IF(A17="","",COUNTIF(Incidencias!$B$2:$B$151,A17))</f>
        <v>0</v>
      </c>
      <c r="Q17" s="13" t="n">
        <f aca="false">IF(A17="","",COUNTIFS(Incidencias!$B$2:$B$151,A17,Incidencias!$F$2:$F$151,"Abierta"))</f>
        <v>0</v>
      </c>
      <c r="R17" s="21" t="n">
        <f aca="false">IF(L17="Sí",H17-I17,IF(A17="","",0))</f>
        <v>0</v>
      </c>
      <c r="S17" s="13" t="str">
        <f aca="false">IF(AND(J17="Entregado",F17&lt;&gt;"",G17&lt;&gt;""),IF(G17&lt;=F17,"Sí","No"),"")</f>
        <v>No</v>
      </c>
      <c r="T17" s="13" t="str">
        <f aca="false">IF(A17="","",IF(K17="Cliente no registrado","Cliente sin dar de alta",IF(F17="","Falta fecha prevista",IF(AND(J17="Entregado",G17=""),"Entregado sin fecha de entrega",IF(ISNA(MATCH(J17,Inicio!$Z$1:$Z$6,0)),"Estado no reconocido",IF(F17&lt;C17,"Prevista anterior al pedido",IF(AND(G17&lt;&gt;"",G17&lt;C17),"Entrega anterior al pedido","")))))))</f>
        <v/>
      </c>
      <c r="U17" s="13" t="str">
        <f aca="false">IF(L17&lt;&gt;"Sí","",IF(M17="Dato pendiente","Poner fecha prevista y avisar al cliente",IF(M17="En plazo","Seguimiento normal",IF(J17="Listo para recoger","Recordar la recogida al cliente",IF(J17="Esperando pieza","Pedir fecha al proveedor y avisar al cliente",IF(J17="En taller","Revisar con el taller","Confirmar el pedido con el proveedor"))))))</f>
        <v/>
      </c>
      <c r="V17" s="29" t="str">
        <f aca="false">IF(M17="Dato pendiente",1000+ROW()/10000,IF(M17="Fuera de plazo",N17+ROW()/10000,""))</f>
        <v/>
      </c>
      <c r="W17" s="30" t="str">
        <f aca="false">IF(T17="","",ROW())</f>
        <v/>
      </c>
    </row>
    <row r="18" customFormat="false" ht="15" hidden="false" customHeight="false" outlineLevel="0" collapsed="false">
      <c r="A18" s="13" t="s">
        <v>145</v>
      </c>
      <c r="B18" s="13" t="s">
        <v>142</v>
      </c>
      <c r="C18" s="28" t="n">
        <v>46192</v>
      </c>
      <c r="D18" s="13" t="s">
        <v>67</v>
      </c>
      <c r="E18" s="13" t="s">
        <v>146</v>
      </c>
      <c r="F18" s="28" t="n">
        <v>46195</v>
      </c>
      <c r="G18" s="28" t="n">
        <v>46195</v>
      </c>
      <c r="H18" s="21" t="n">
        <v>79</v>
      </c>
      <c r="I18" s="21" t="n">
        <v>20</v>
      </c>
      <c r="J18" s="13" t="s">
        <v>7</v>
      </c>
      <c r="K18" s="13" t="str">
        <f aca="false">IF(A18="","",IFERROR(INDEX(Clientes!$B$2:$B$200,MATCH(B18,Clientes!$A$2:$A$200,0)),"Cliente no registrado"))</f>
        <v>Álvaro Prieto Lozano</v>
      </c>
      <c r="L18" s="13" t="str">
        <f aca="false">IF(A18="","",IF(OR(J18="Entregado",J18="Anulado"),"No","Sí"))</f>
        <v>No</v>
      </c>
      <c r="M18" s="13" t="str">
        <f aca="false">IF(A18="","",IF(J18="Entregado","Entregado",IF(J18="Anulado","Anulado",IF(F18="","Dato pendiente",IF(F18&lt;Control!$C$4,"Fuera de plazo","En plazo")))))</f>
        <v>Entregado</v>
      </c>
      <c r="N18" s="13" t="str">
        <f aca="false">IF(M18="Fuera de plazo",Control!$C$4-F18,"")</f>
        <v/>
      </c>
      <c r="O18" s="13" t="str">
        <f aca="false">IF(M18="Fuera de plazo",IF(J18="Listo para recoger","Cliente (no recoge)","Tienda o proveedor"),"")</f>
        <v/>
      </c>
      <c r="P18" s="13" t="n">
        <f aca="false">IF(A18="","",COUNTIF(Incidencias!$B$2:$B$151,A18))</f>
        <v>0</v>
      </c>
      <c r="Q18" s="13" t="n">
        <f aca="false">IF(A18="","",COUNTIFS(Incidencias!$B$2:$B$151,A18,Incidencias!$F$2:$F$151,"Abierta"))</f>
        <v>0</v>
      </c>
      <c r="R18" s="21" t="n">
        <f aca="false">IF(L18="Sí",H18-I18,IF(A18="","",0))</f>
        <v>0</v>
      </c>
      <c r="S18" s="13" t="str">
        <f aca="false">IF(AND(J18="Entregado",F18&lt;&gt;"",G18&lt;&gt;""),IF(G18&lt;=F18,"Sí","No"),"")</f>
        <v>Sí</v>
      </c>
      <c r="T18" s="13" t="str">
        <f aca="false">IF(A18="","",IF(K18="Cliente no registrado","Cliente sin dar de alta",IF(F18="","Falta fecha prevista",IF(AND(J18="Entregado",G18=""),"Entregado sin fecha de entrega",IF(ISNA(MATCH(J18,Inicio!$Z$1:$Z$6,0)),"Estado no reconocido",IF(F18&lt;C18,"Prevista anterior al pedido",IF(AND(G18&lt;&gt;"",G18&lt;C18),"Entrega anterior al pedido","")))))))</f>
        <v/>
      </c>
      <c r="U18" s="13" t="str">
        <f aca="false">IF(L18&lt;&gt;"Sí","",IF(M18="Dato pendiente","Poner fecha prevista y avisar al cliente",IF(M18="En plazo","Seguimiento normal",IF(J18="Listo para recoger","Recordar la recogida al cliente",IF(J18="Esperando pieza","Pedir fecha al proveedor y avisar al cliente",IF(J18="En taller","Revisar con el taller","Confirmar el pedido con el proveedor"))))))</f>
        <v/>
      </c>
      <c r="V18" s="29" t="str">
        <f aca="false">IF(M18="Dato pendiente",1000+ROW()/10000,IF(M18="Fuera de plazo",N18+ROW()/10000,""))</f>
        <v/>
      </c>
      <c r="W18" s="30" t="str">
        <f aca="false">IF(T18="","",ROW())</f>
        <v/>
      </c>
    </row>
    <row r="19" customFormat="false" ht="15" hidden="false" customHeight="false" outlineLevel="0" collapsed="false">
      <c r="A19" s="13" t="s">
        <v>147</v>
      </c>
      <c r="B19" s="13" t="s">
        <v>114</v>
      </c>
      <c r="C19" s="28" t="n">
        <v>46195</v>
      </c>
      <c r="D19" s="13" t="s">
        <v>67</v>
      </c>
      <c r="E19" s="13" t="s">
        <v>148</v>
      </c>
      <c r="F19" s="28" t="n">
        <v>46202</v>
      </c>
      <c r="G19" s="28" t="n">
        <v>46214</v>
      </c>
      <c r="H19" s="21" t="n">
        <v>129</v>
      </c>
      <c r="I19" s="21" t="n">
        <v>20</v>
      </c>
      <c r="J19" s="13" t="s">
        <v>7</v>
      </c>
      <c r="K19" s="13" t="str">
        <f aca="false">IF(A19="","",IFERROR(INDEX(Clientes!$B$2:$B$200,MATCH(B19,Clientes!$A$2:$A$200,0)),"Cliente no registrado"))</f>
        <v>Daniel Romero Gil</v>
      </c>
      <c r="L19" s="13" t="str">
        <f aca="false">IF(A19="","",IF(OR(J19="Entregado",J19="Anulado"),"No","Sí"))</f>
        <v>No</v>
      </c>
      <c r="M19" s="13" t="str">
        <f aca="false">IF(A19="","",IF(J19="Entregado","Entregado",IF(J19="Anulado","Anulado",IF(F19="","Dato pendiente",IF(F19&lt;Control!$C$4,"Fuera de plazo","En plazo")))))</f>
        <v>Entregado</v>
      </c>
      <c r="N19" s="13" t="str">
        <f aca="false">IF(M19="Fuera de plazo",Control!$C$4-F19,"")</f>
        <v/>
      </c>
      <c r="O19" s="13" t="str">
        <f aca="false">IF(M19="Fuera de plazo",IF(J19="Listo para recoger","Cliente (no recoge)","Tienda o proveedor"),"")</f>
        <v/>
      </c>
      <c r="P19" s="13" t="n">
        <f aca="false">IF(A19="","",COUNTIF(Incidencias!$B$2:$B$151,A19))</f>
        <v>1</v>
      </c>
      <c r="Q19" s="13" t="n">
        <f aca="false">IF(A19="","",COUNTIFS(Incidencias!$B$2:$B$151,A19,Incidencias!$F$2:$F$151,"Abierta"))</f>
        <v>0</v>
      </c>
      <c r="R19" s="21" t="n">
        <f aca="false">IF(L19="Sí",H19-I19,IF(A19="","",0))</f>
        <v>0</v>
      </c>
      <c r="S19" s="13" t="str">
        <f aca="false">IF(AND(J19="Entregado",F19&lt;&gt;"",G19&lt;&gt;""),IF(G19&lt;=F19,"Sí","No"),"")</f>
        <v>No</v>
      </c>
      <c r="T19" s="13" t="str">
        <f aca="false">IF(A19="","",IF(K19="Cliente no registrado","Cliente sin dar de alta",IF(F19="","Falta fecha prevista",IF(AND(J19="Entregado",G19=""),"Entregado sin fecha de entrega",IF(ISNA(MATCH(J19,Inicio!$Z$1:$Z$6,0)),"Estado no reconocido",IF(F19&lt;C19,"Prevista anterior al pedido",IF(AND(G19&lt;&gt;"",G19&lt;C19),"Entrega anterior al pedido","")))))))</f>
        <v/>
      </c>
      <c r="U19" s="13" t="str">
        <f aca="false">IF(L19&lt;&gt;"Sí","",IF(M19="Dato pendiente","Poner fecha prevista y avisar al cliente",IF(M19="En plazo","Seguimiento normal",IF(J19="Listo para recoger","Recordar la recogida al cliente",IF(J19="Esperando pieza","Pedir fecha al proveedor y avisar al cliente",IF(J19="En taller","Revisar con el taller","Confirmar el pedido con el proveedor"))))))</f>
        <v/>
      </c>
      <c r="V19" s="29" t="str">
        <f aca="false">IF(M19="Dato pendiente",1000+ROW()/10000,IF(M19="Fuera de plazo",N19+ROW()/10000,""))</f>
        <v/>
      </c>
      <c r="W19" s="30" t="str">
        <f aca="false">IF(T19="","",ROW())</f>
        <v/>
      </c>
    </row>
    <row r="20" customFormat="false" ht="15" hidden="false" customHeight="false" outlineLevel="0" collapsed="false">
      <c r="A20" s="13" t="s">
        <v>149</v>
      </c>
      <c r="B20" s="13" t="s">
        <v>150</v>
      </c>
      <c r="C20" s="28" t="n">
        <v>46195</v>
      </c>
      <c r="D20" s="13" t="s">
        <v>70</v>
      </c>
      <c r="E20" s="13" t="s">
        <v>151</v>
      </c>
      <c r="F20" s="28" t="n">
        <v>46199</v>
      </c>
      <c r="G20" s="28" t="n">
        <v>46199</v>
      </c>
      <c r="H20" s="21" t="n">
        <v>999</v>
      </c>
      <c r="I20" s="21" t="n">
        <v>0</v>
      </c>
      <c r="J20" s="13" t="s">
        <v>7</v>
      </c>
      <c r="K20" s="13" t="str">
        <f aca="false">IF(A20="","",IFERROR(INDEX(Clientes!$B$2:$B$200,MATCH(B20,Clientes!$A$2:$A$200,0)),"Cliente no registrado"))</f>
        <v>Academia Nevada Idiomas</v>
      </c>
      <c r="L20" s="13" t="str">
        <f aca="false">IF(A20="","",IF(OR(J20="Entregado",J20="Anulado"),"No","Sí"))</f>
        <v>No</v>
      </c>
      <c r="M20" s="13" t="str">
        <f aca="false">IF(A20="","",IF(J20="Entregado","Entregado",IF(J20="Anulado","Anulado",IF(F20="","Dato pendiente",IF(F20&lt;Control!$C$4,"Fuera de plazo","En plazo")))))</f>
        <v>Entregado</v>
      </c>
      <c r="N20" s="13" t="str">
        <f aca="false">IF(M20="Fuera de plazo",Control!$C$4-F20,"")</f>
        <v/>
      </c>
      <c r="O20" s="13" t="str">
        <f aca="false">IF(M20="Fuera de plazo",IF(J20="Listo para recoger","Cliente (no recoge)","Tienda o proveedor"),"")</f>
        <v/>
      </c>
      <c r="P20" s="13" t="n">
        <f aca="false">IF(A20="","",COUNTIF(Incidencias!$B$2:$B$151,A20))</f>
        <v>1</v>
      </c>
      <c r="Q20" s="13" t="n">
        <f aca="false">IF(A20="","",COUNTIFS(Incidencias!$B$2:$B$151,A20,Incidencias!$F$2:$F$151,"Abierta"))</f>
        <v>0</v>
      </c>
      <c r="R20" s="21" t="n">
        <f aca="false">IF(L20="Sí",H20-I20,IF(A20="","",0))</f>
        <v>0</v>
      </c>
      <c r="S20" s="13" t="str">
        <f aca="false">IF(AND(J20="Entregado",F20&lt;&gt;"",G20&lt;&gt;""),IF(G20&lt;=F20,"Sí","No"),"")</f>
        <v>Sí</v>
      </c>
      <c r="T20" s="13" t="str">
        <f aca="false">IF(A20="","",IF(K20="Cliente no registrado","Cliente sin dar de alta",IF(F20="","Falta fecha prevista",IF(AND(J20="Entregado",G20=""),"Entregado sin fecha de entrega",IF(ISNA(MATCH(J20,Inicio!$Z$1:$Z$6,0)),"Estado no reconocido",IF(F20&lt;C20,"Prevista anterior al pedido",IF(AND(G20&lt;&gt;"",G20&lt;C20),"Entrega anterior al pedido","")))))))</f>
        <v/>
      </c>
      <c r="U20" s="13" t="str">
        <f aca="false">IF(L20&lt;&gt;"Sí","",IF(M20="Dato pendiente","Poner fecha prevista y avisar al cliente",IF(M20="En plazo","Seguimiento normal",IF(J20="Listo para recoger","Recordar la recogida al cliente",IF(J20="Esperando pieza","Pedir fecha al proveedor y avisar al cliente",IF(J20="En taller","Revisar con el taller","Confirmar el pedido con el proveedor"))))))</f>
        <v/>
      </c>
      <c r="V20" s="29" t="str">
        <f aca="false">IF(M20="Dato pendiente",1000+ROW()/10000,IF(M20="Fuera de plazo",N20+ROW()/10000,""))</f>
        <v/>
      </c>
      <c r="W20" s="30" t="str">
        <f aca="false">IF(T20="","",ROW())</f>
        <v/>
      </c>
    </row>
    <row r="21" customFormat="false" ht="15" hidden="false" customHeight="false" outlineLevel="0" collapsed="false">
      <c r="A21" s="13" t="s">
        <v>152</v>
      </c>
      <c r="B21" s="13" t="s">
        <v>111</v>
      </c>
      <c r="C21" s="28" t="n">
        <v>46197</v>
      </c>
      <c r="D21" s="13" t="s">
        <v>68</v>
      </c>
      <c r="E21" s="13" t="s">
        <v>138</v>
      </c>
      <c r="F21" s="28" t="n">
        <v>46204</v>
      </c>
      <c r="G21" s="28" t="n">
        <v>46204</v>
      </c>
      <c r="H21" s="21" t="n">
        <v>1589</v>
      </c>
      <c r="I21" s="21" t="n">
        <v>500</v>
      </c>
      <c r="J21" s="13" t="s">
        <v>7</v>
      </c>
      <c r="K21" s="13" t="str">
        <f aca="false">IF(A21="","",IFERROR(INDEX(Clientes!$B$2:$B$200,MATCH(B21,Clientes!$A$2:$A$200,0)),"Cliente no registrado"))</f>
        <v>Gestoría Ruiz y Molina</v>
      </c>
      <c r="L21" s="13" t="str">
        <f aca="false">IF(A21="","",IF(OR(J21="Entregado",J21="Anulado"),"No","Sí"))</f>
        <v>No</v>
      </c>
      <c r="M21" s="13" t="str">
        <f aca="false">IF(A21="","",IF(J21="Entregado","Entregado",IF(J21="Anulado","Anulado",IF(F21="","Dato pendiente",IF(F21&lt;Control!$C$4,"Fuera de plazo","En plazo")))))</f>
        <v>Entregado</v>
      </c>
      <c r="N21" s="13" t="str">
        <f aca="false">IF(M21="Fuera de plazo",Control!$C$4-F21,"")</f>
        <v/>
      </c>
      <c r="O21" s="13" t="str">
        <f aca="false">IF(M21="Fuera de plazo",IF(J21="Listo para recoger","Cliente (no recoge)","Tienda o proveedor"),"")</f>
        <v/>
      </c>
      <c r="P21" s="13" t="n">
        <f aca="false">IF(A21="","",COUNTIF(Incidencias!$B$2:$B$151,A21))</f>
        <v>0</v>
      </c>
      <c r="Q21" s="13" t="n">
        <f aca="false">IF(A21="","",COUNTIFS(Incidencias!$B$2:$B$151,A21,Incidencias!$F$2:$F$151,"Abierta"))</f>
        <v>0</v>
      </c>
      <c r="R21" s="21" t="n">
        <f aca="false">IF(L21="Sí",H21-I21,IF(A21="","",0))</f>
        <v>0</v>
      </c>
      <c r="S21" s="13" t="str">
        <f aca="false">IF(AND(J21="Entregado",F21&lt;&gt;"",G21&lt;&gt;""),IF(G21&lt;=F21,"Sí","No"),"")</f>
        <v>Sí</v>
      </c>
      <c r="T21" s="13" t="str">
        <f aca="false">IF(A21="","",IF(K21="Cliente no registrado","Cliente sin dar de alta",IF(F21="","Falta fecha prevista",IF(AND(J21="Entregado",G21=""),"Entregado sin fecha de entrega",IF(ISNA(MATCH(J21,Inicio!$Z$1:$Z$6,0)),"Estado no reconocido",IF(F21&lt;C21,"Prevista anterior al pedido",IF(AND(G21&lt;&gt;"",G21&lt;C21),"Entrega anterior al pedido","")))))))</f>
        <v/>
      </c>
      <c r="U21" s="13" t="str">
        <f aca="false">IF(L21&lt;&gt;"Sí","",IF(M21="Dato pendiente","Poner fecha prevista y avisar al cliente",IF(M21="En plazo","Seguimiento normal",IF(J21="Listo para recoger","Recordar la recogida al cliente",IF(J21="Esperando pieza","Pedir fecha al proveedor y avisar al cliente",IF(J21="En taller","Revisar con el taller","Confirmar el pedido con el proveedor"))))))</f>
        <v/>
      </c>
      <c r="V21" s="29" t="str">
        <f aca="false">IF(M21="Dato pendiente",1000+ROW()/10000,IF(M21="Fuera de plazo",N21+ROW()/10000,""))</f>
        <v/>
      </c>
      <c r="W21" s="30" t="str">
        <f aca="false">IF(T21="","",ROW())</f>
        <v/>
      </c>
    </row>
    <row r="22" customFormat="false" ht="15" hidden="false" customHeight="false" outlineLevel="0" collapsed="false">
      <c r="A22" s="13" t="s">
        <v>153</v>
      </c>
      <c r="B22" s="13" t="s">
        <v>137</v>
      </c>
      <c r="C22" s="28" t="n">
        <v>46197</v>
      </c>
      <c r="D22" s="13" t="s">
        <v>67</v>
      </c>
      <c r="E22" s="13" t="s">
        <v>146</v>
      </c>
      <c r="F22" s="28" t="n">
        <v>46202</v>
      </c>
      <c r="G22" s="28"/>
      <c r="H22" s="21" t="n">
        <v>79</v>
      </c>
      <c r="I22" s="21" t="n">
        <v>0</v>
      </c>
      <c r="J22" s="13" t="s">
        <v>8</v>
      </c>
      <c r="K22" s="13" t="str">
        <f aca="false">IF(A22="","",IFERROR(INDEX(Clientes!$B$2:$B$200,MATCH(B22,Clientes!$A$2:$A$200,0)),"Cliente no registrado"))</f>
        <v>Nerea Fuentes Cano</v>
      </c>
      <c r="L22" s="13" t="str">
        <f aca="false">IF(A22="","",IF(OR(J22="Entregado",J22="Anulado"),"No","Sí"))</f>
        <v>No</v>
      </c>
      <c r="M22" s="13" t="str">
        <f aca="false">IF(A22="","",IF(J22="Entregado","Entregado",IF(J22="Anulado","Anulado",IF(F22="","Dato pendiente",IF(F22&lt;Control!$C$4,"Fuera de plazo","En plazo")))))</f>
        <v>Anulado</v>
      </c>
      <c r="N22" s="13" t="str">
        <f aca="false">IF(M22="Fuera de plazo",Control!$C$4-F22,"")</f>
        <v/>
      </c>
      <c r="O22" s="13" t="str">
        <f aca="false">IF(M22="Fuera de plazo",IF(J22="Listo para recoger","Cliente (no recoge)","Tienda o proveedor"),"")</f>
        <v/>
      </c>
      <c r="P22" s="13" t="n">
        <f aca="false">IF(A22="","",COUNTIF(Incidencias!$B$2:$B$151,A22))</f>
        <v>1</v>
      </c>
      <c r="Q22" s="13" t="n">
        <f aca="false">IF(A22="","",COUNTIFS(Incidencias!$B$2:$B$151,A22,Incidencias!$F$2:$F$151,"Abierta"))</f>
        <v>0</v>
      </c>
      <c r="R22" s="21" t="n">
        <f aca="false">IF(L22="Sí",H22-I22,IF(A22="","",0))</f>
        <v>0</v>
      </c>
      <c r="S22" s="13" t="str">
        <f aca="false">IF(AND(J22="Entregado",F22&lt;&gt;"",G22&lt;&gt;""),IF(G22&lt;=F22,"Sí","No"),"")</f>
        <v/>
      </c>
      <c r="T22" s="13" t="str">
        <f aca="false">IF(A22="","",IF(K22="Cliente no registrado","Cliente sin dar de alta",IF(F22="","Falta fecha prevista",IF(AND(J22="Entregado",G22=""),"Entregado sin fecha de entrega",IF(ISNA(MATCH(J22,Inicio!$Z$1:$Z$6,0)),"Estado no reconocido",IF(F22&lt;C22,"Prevista anterior al pedido",IF(AND(G22&lt;&gt;"",G22&lt;C22),"Entrega anterior al pedido","")))))))</f>
        <v/>
      </c>
      <c r="U22" s="13" t="str">
        <f aca="false">IF(L22&lt;&gt;"Sí","",IF(M22="Dato pendiente","Poner fecha prevista y avisar al cliente",IF(M22="En plazo","Seguimiento normal",IF(J22="Listo para recoger","Recordar la recogida al cliente",IF(J22="Esperando pieza","Pedir fecha al proveedor y avisar al cliente",IF(J22="En taller","Revisar con el taller","Confirmar el pedido con el proveedor"))))))</f>
        <v/>
      </c>
      <c r="V22" s="29" t="str">
        <f aca="false">IF(M22="Dato pendiente",1000+ROW()/10000,IF(M22="Fuera de plazo",N22+ROW()/10000,""))</f>
        <v/>
      </c>
      <c r="W22" s="30" t="str">
        <f aca="false">IF(T22="","",ROW())</f>
        <v/>
      </c>
    </row>
    <row r="23" customFormat="false" ht="15" hidden="false" customHeight="false" outlineLevel="0" collapsed="false">
      <c r="A23" s="13" t="s">
        <v>154</v>
      </c>
      <c r="B23" s="13" t="s">
        <v>105</v>
      </c>
      <c r="C23" s="28" t="n">
        <v>46197</v>
      </c>
      <c r="D23" s="13" t="s">
        <v>71</v>
      </c>
      <c r="E23" s="13" t="s">
        <v>155</v>
      </c>
      <c r="F23" s="28" t="n">
        <v>46202</v>
      </c>
      <c r="G23" s="28" t="n">
        <v>46213</v>
      </c>
      <c r="H23" s="21" t="n">
        <v>179.9</v>
      </c>
      <c r="I23" s="21" t="n">
        <v>89.95</v>
      </c>
      <c r="J23" s="13" t="s">
        <v>7</v>
      </c>
      <c r="K23" s="13" t="str">
        <f aca="false">IF(A23="","",IFERROR(INDEX(Clientes!$B$2:$B$200,MATCH(B23,Clientes!$A$2:$A$200,0)),"Cliente no registrado"))</f>
        <v>Marina Torres Blanco</v>
      </c>
      <c r="L23" s="13" t="str">
        <f aca="false">IF(A23="","",IF(OR(J23="Entregado",J23="Anulado"),"No","Sí"))</f>
        <v>No</v>
      </c>
      <c r="M23" s="13" t="str">
        <f aca="false">IF(A23="","",IF(J23="Entregado","Entregado",IF(J23="Anulado","Anulado",IF(F23="","Dato pendiente",IF(F23&lt;Control!$C$4,"Fuera de plazo","En plazo")))))</f>
        <v>Entregado</v>
      </c>
      <c r="N23" s="13" t="str">
        <f aca="false">IF(M23="Fuera de plazo",Control!$C$4-F23,"")</f>
        <v/>
      </c>
      <c r="O23" s="13" t="str">
        <f aca="false">IF(M23="Fuera de plazo",IF(J23="Listo para recoger","Cliente (no recoge)","Tienda o proveedor"),"")</f>
        <v/>
      </c>
      <c r="P23" s="13" t="n">
        <f aca="false">IF(A23="","",COUNTIF(Incidencias!$B$2:$B$151,A23))</f>
        <v>1</v>
      </c>
      <c r="Q23" s="13" t="n">
        <f aca="false">IF(A23="","",COUNTIFS(Incidencias!$B$2:$B$151,A23,Incidencias!$F$2:$F$151,"Abierta"))</f>
        <v>0</v>
      </c>
      <c r="R23" s="21" t="n">
        <f aca="false">IF(L23="Sí",H23-I23,IF(A23="","",0))</f>
        <v>0</v>
      </c>
      <c r="S23" s="13" t="str">
        <f aca="false">IF(AND(J23="Entregado",F23&lt;&gt;"",G23&lt;&gt;""),IF(G23&lt;=F23,"Sí","No"),"")</f>
        <v>No</v>
      </c>
      <c r="T23" s="13" t="str">
        <f aca="false">IF(A23="","",IF(K23="Cliente no registrado","Cliente sin dar de alta",IF(F23="","Falta fecha prevista",IF(AND(J23="Entregado",G23=""),"Entregado sin fecha de entrega",IF(ISNA(MATCH(J23,Inicio!$Z$1:$Z$6,0)),"Estado no reconocido",IF(F23&lt;C23,"Prevista anterior al pedido",IF(AND(G23&lt;&gt;"",G23&lt;C23),"Entrega anterior al pedido","")))))))</f>
        <v/>
      </c>
      <c r="U23" s="13" t="str">
        <f aca="false">IF(L23&lt;&gt;"Sí","",IF(M23="Dato pendiente","Poner fecha prevista y avisar al cliente",IF(M23="En plazo","Seguimiento normal",IF(J23="Listo para recoger","Recordar la recogida al cliente",IF(J23="Esperando pieza","Pedir fecha al proveedor y avisar al cliente",IF(J23="En taller","Revisar con el taller","Confirmar el pedido con el proveedor"))))))</f>
        <v/>
      </c>
      <c r="V23" s="29" t="str">
        <f aca="false">IF(M23="Dato pendiente",1000+ROW()/10000,IF(M23="Fuera de plazo",N23+ROW()/10000,""))</f>
        <v/>
      </c>
      <c r="W23" s="30" t="str">
        <f aca="false">IF(T23="","",ROW())</f>
        <v/>
      </c>
    </row>
    <row r="24" customFormat="false" ht="15" hidden="false" customHeight="false" outlineLevel="0" collapsed="false">
      <c r="A24" s="13" t="s">
        <v>156</v>
      </c>
      <c r="B24" s="13" t="s">
        <v>157</v>
      </c>
      <c r="C24" s="28" t="n">
        <v>46199</v>
      </c>
      <c r="D24" s="13" t="s">
        <v>67</v>
      </c>
      <c r="E24" s="13" t="s">
        <v>158</v>
      </c>
      <c r="F24" s="28" t="n">
        <v>46205</v>
      </c>
      <c r="G24" s="28" t="n">
        <v>46205</v>
      </c>
      <c r="H24" s="21" t="n">
        <v>69</v>
      </c>
      <c r="I24" s="21" t="n">
        <v>20</v>
      </c>
      <c r="J24" s="13" t="s">
        <v>7</v>
      </c>
      <c r="K24" s="13" t="str">
        <f aca="false">IF(A24="","",IFERROR(INDEX(Clientes!$B$2:$B$200,MATCH(B24,Clientes!$A$2:$A$200,0)),"Cliente no registrado"))</f>
        <v>Laura Medina Ortiz</v>
      </c>
      <c r="L24" s="13" t="str">
        <f aca="false">IF(A24="","",IF(OR(J24="Entregado",J24="Anulado"),"No","Sí"))</f>
        <v>No</v>
      </c>
      <c r="M24" s="13" t="str">
        <f aca="false">IF(A24="","",IF(J24="Entregado","Entregado",IF(J24="Anulado","Anulado",IF(F24="","Dato pendiente",IF(F24&lt;Control!$C$4,"Fuera de plazo","En plazo")))))</f>
        <v>Entregado</v>
      </c>
      <c r="N24" s="13" t="str">
        <f aca="false">IF(M24="Fuera de plazo",Control!$C$4-F24,"")</f>
        <v/>
      </c>
      <c r="O24" s="13" t="str">
        <f aca="false">IF(M24="Fuera de plazo",IF(J24="Listo para recoger","Cliente (no recoge)","Tienda o proveedor"),"")</f>
        <v/>
      </c>
      <c r="P24" s="13" t="n">
        <f aca="false">IF(A24="","",COUNTIF(Incidencias!$B$2:$B$151,A24))</f>
        <v>0</v>
      </c>
      <c r="Q24" s="13" t="n">
        <f aca="false">IF(A24="","",COUNTIFS(Incidencias!$B$2:$B$151,A24,Incidencias!$F$2:$F$151,"Abierta"))</f>
        <v>0</v>
      </c>
      <c r="R24" s="21" t="n">
        <f aca="false">IF(L24="Sí",H24-I24,IF(A24="","",0))</f>
        <v>0</v>
      </c>
      <c r="S24" s="13" t="str">
        <f aca="false">IF(AND(J24="Entregado",F24&lt;&gt;"",G24&lt;&gt;""),IF(G24&lt;=F24,"Sí","No"),"")</f>
        <v>Sí</v>
      </c>
      <c r="T24" s="13" t="str">
        <f aca="false">IF(A24="","",IF(K24="Cliente no registrado","Cliente sin dar de alta",IF(F24="","Falta fecha prevista",IF(AND(J24="Entregado",G24=""),"Entregado sin fecha de entrega",IF(ISNA(MATCH(J24,Inicio!$Z$1:$Z$6,0)),"Estado no reconocido",IF(F24&lt;C24,"Prevista anterior al pedido",IF(AND(G24&lt;&gt;"",G24&lt;C24),"Entrega anterior al pedido","")))))))</f>
        <v/>
      </c>
      <c r="U24" s="13" t="str">
        <f aca="false">IF(L24&lt;&gt;"Sí","",IF(M24="Dato pendiente","Poner fecha prevista y avisar al cliente",IF(M24="En plazo","Seguimiento normal",IF(J24="Listo para recoger","Recordar la recogida al cliente",IF(J24="Esperando pieza","Pedir fecha al proveedor y avisar al cliente",IF(J24="En taller","Revisar con el taller","Confirmar el pedido con el proveedor"))))))</f>
        <v/>
      </c>
      <c r="V24" s="29" t="str">
        <f aca="false">IF(M24="Dato pendiente",1000+ROW()/10000,IF(M24="Fuera de plazo",N24+ROW()/10000,""))</f>
        <v/>
      </c>
      <c r="W24" s="30" t="str">
        <f aca="false">IF(T24="","",ROW())</f>
        <v/>
      </c>
    </row>
    <row r="25" customFormat="false" ht="15" hidden="false" customHeight="false" outlineLevel="0" collapsed="false">
      <c r="A25" s="13" t="s">
        <v>159</v>
      </c>
      <c r="B25" s="13" t="s">
        <v>114</v>
      </c>
      <c r="C25" s="28" t="n">
        <v>46200</v>
      </c>
      <c r="D25" s="13" t="s">
        <v>71</v>
      </c>
      <c r="E25" s="13" t="s">
        <v>160</v>
      </c>
      <c r="F25" s="28" t="n">
        <v>46209</v>
      </c>
      <c r="G25" s="28" t="n">
        <v>46209</v>
      </c>
      <c r="H25" s="21" t="n">
        <v>189.9</v>
      </c>
      <c r="I25" s="21" t="n">
        <v>189.9</v>
      </c>
      <c r="J25" s="13" t="s">
        <v>7</v>
      </c>
      <c r="K25" s="13" t="str">
        <f aca="false">IF(A25="","",IFERROR(INDEX(Clientes!$B$2:$B$200,MATCH(B25,Clientes!$A$2:$A$200,0)),"Cliente no registrado"))</f>
        <v>Daniel Romero Gil</v>
      </c>
      <c r="L25" s="13" t="str">
        <f aca="false">IF(A25="","",IF(OR(J25="Entregado",J25="Anulado"),"No","Sí"))</f>
        <v>No</v>
      </c>
      <c r="M25" s="13" t="str">
        <f aca="false">IF(A25="","",IF(J25="Entregado","Entregado",IF(J25="Anulado","Anulado",IF(F25="","Dato pendiente",IF(F25&lt;Control!$C$4,"Fuera de plazo","En plazo")))))</f>
        <v>Entregado</v>
      </c>
      <c r="N25" s="13" t="str">
        <f aca="false">IF(M25="Fuera de plazo",Control!$C$4-F25,"")</f>
        <v/>
      </c>
      <c r="O25" s="13" t="str">
        <f aca="false">IF(M25="Fuera de plazo",IF(J25="Listo para recoger","Cliente (no recoge)","Tienda o proveedor"),"")</f>
        <v/>
      </c>
      <c r="P25" s="13" t="n">
        <f aca="false">IF(A25="","",COUNTIF(Incidencias!$B$2:$B$151,A25))</f>
        <v>0</v>
      </c>
      <c r="Q25" s="13" t="n">
        <f aca="false">IF(A25="","",COUNTIFS(Incidencias!$B$2:$B$151,A25,Incidencias!$F$2:$F$151,"Abierta"))</f>
        <v>0</v>
      </c>
      <c r="R25" s="21" t="n">
        <f aca="false">IF(L25="Sí",H25-I25,IF(A25="","",0))</f>
        <v>0</v>
      </c>
      <c r="S25" s="13" t="str">
        <f aca="false">IF(AND(J25="Entregado",F25&lt;&gt;"",G25&lt;&gt;""),IF(G25&lt;=F25,"Sí","No"),"")</f>
        <v>Sí</v>
      </c>
      <c r="T25" s="13" t="str">
        <f aca="false">IF(A25="","",IF(K25="Cliente no registrado","Cliente sin dar de alta",IF(F25="","Falta fecha prevista",IF(AND(J25="Entregado",G25=""),"Entregado sin fecha de entrega",IF(ISNA(MATCH(J25,Inicio!$Z$1:$Z$6,0)),"Estado no reconocido",IF(F25&lt;C25,"Prevista anterior al pedido",IF(AND(G25&lt;&gt;"",G25&lt;C25),"Entrega anterior al pedido","")))))))</f>
        <v/>
      </c>
      <c r="U25" s="13" t="str">
        <f aca="false">IF(L25&lt;&gt;"Sí","",IF(M25="Dato pendiente","Poner fecha prevista y avisar al cliente",IF(M25="En plazo","Seguimiento normal",IF(J25="Listo para recoger","Recordar la recogida al cliente",IF(J25="Esperando pieza","Pedir fecha al proveedor y avisar al cliente",IF(J25="En taller","Revisar con el taller","Confirmar el pedido con el proveedor"))))))</f>
        <v/>
      </c>
      <c r="V25" s="29" t="str">
        <f aca="false">IF(M25="Dato pendiente",1000+ROW()/10000,IF(M25="Fuera de plazo",N25+ROW()/10000,""))</f>
        <v/>
      </c>
      <c r="W25" s="30" t="str">
        <f aca="false">IF(T25="","",ROW())</f>
        <v/>
      </c>
    </row>
    <row r="26" customFormat="false" ht="15" hidden="false" customHeight="false" outlineLevel="0" collapsed="false">
      <c r="A26" s="13" t="s">
        <v>161</v>
      </c>
      <c r="B26" s="13" t="s">
        <v>114</v>
      </c>
      <c r="C26" s="28" t="n">
        <v>46200</v>
      </c>
      <c r="D26" s="13" t="s">
        <v>72</v>
      </c>
      <c r="E26" s="13" t="s">
        <v>162</v>
      </c>
      <c r="F26" s="28" t="n">
        <v>46205</v>
      </c>
      <c r="G26" s="28" t="n">
        <v>46209</v>
      </c>
      <c r="H26" s="21" t="n">
        <v>174.5</v>
      </c>
      <c r="I26" s="21" t="n">
        <v>0</v>
      </c>
      <c r="J26" s="13" t="s">
        <v>7</v>
      </c>
      <c r="K26" s="13" t="str">
        <f aca="false">IF(A26="","",IFERROR(INDEX(Clientes!$B$2:$B$200,MATCH(B26,Clientes!$A$2:$A$200,0)),"Cliente no registrado"))</f>
        <v>Daniel Romero Gil</v>
      </c>
      <c r="L26" s="13" t="str">
        <f aca="false">IF(A26="","",IF(OR(J26="Entregado",J26="Anulado"),"No","Sí"))</f>
        <v>No</v>
      </c>
      <c r="M26" s="13" t="str">
        <f aca="false">IF(A26="","",IF(J26="Entregado","Entregado",IF(J26="Anulado","Anulado",IF(F26="","Dato pendiente",IF(F26&lt;Control!$C$4,"Fuera de plazo","En plazo")))))</f>
        <v>Entregado</v>
      </c>
      <c r="N26" s="13" t="str">
        <f aca="false">IF(M26="Fuera de plazo",Control!$C$4-F26,"")</f>
        <v/>
      </c>
      <c r="O26" s="13" t="str">
        <f aca="false">IF(M26="Fuera de plazo",IF(J26="Listo para recoger","Cliente (no recoge)","Tienda o proveedor"),"")</f>
        <v/>
      </c>
      <c r="P26" s="13" t="n">
        <f aca="false">IF(A26="","",COUNTIF(Incidencias!$B$2:$B$151,A26))</f>
        <v>0</v>
      </c>
      <c r="Q26" s="13" t="n">
        <f aca="false">IF(A26="","",COUNTIFS(Incidencias!$B$2:$B$151,A26,Incidencias!$F$2:$F$151,"Abierta"))</f>
        <v>0</v>
      </c>
      <c r="R26" s="21" t="n">
        <f aca="false">IF(L26="Sí",H26-I26,IF(A26="","",0))</f>
        <v>0</v>
      </c>
      <c r="S26" s="13" t="str">
        <f aca="false">IF(AND(J26="Entregado",F26&lt;&gt;"",G26&lt;&gt;""),IF(G26&lt;=F26,"Sí","No"),"")</f>
        <v>No</v>
      </c>
      <c r="T26" s="13" t="str">
        <f aca="false">IF(A26="","",IF(K26="Cliente no registrado","Cliente sin dar de alta",IF(F26="","Falta fecha prevista",IF(AND(J26="Entregado",G26=""),"Entregado sin fecha de entrega",IF(ISNA(MATCH(J26,Inicio!$Z$1:$Z$6,0)),"Estado no reconocido",IF(F26&lt;C26,"Prevista anterior al pedido",IF(AND(G26&lt;&gt;"",G26&lt;C26),"Entrega anterior al pedido","")))))))</f>
        <v/>
      </c>
      <c r="U26" s="13" t="str">
        <f aca="false">IF(L26&lt;&gt;"Sí","",IF(M26="Dato pendiente","Poner fecha prevista y avisar al cliente",IF(M26="En plazo","Seguimiento normal",IF(J26="Listo para recoger","Recordar la recogida al cliente",IF(J26="Esperando pieza","Pedir fecha al proveedor y avisar al cliente",IF(J26="En taller","Revisar con el taller","Confirmar el pedido con el proveedor"))))))</f>
        <v/>
      </c>
      <c r="V26" s="29" t="str">
        <f aca="false">IF(M26="Dato pendiente",1000+ROW()/10000,IF(M26="Fuera de plazo",N26+ROW()/10000,""))</f>
        <v/>
      </c>
      <c r="W26" s="30" t="str">
        <f aca="false">IF(T26="","",ROW())</f>
        <v/>
      </c>
    </row>
    <row r="27" customFormat="false" ht="15" hidden="false" customHeight="false" outlineLevel="0" collapsed="false">
      <c r="A27" s="13" t="s">
        <v>163</v>
      </c>
      <c r="B27" s="13" t="s">
        <v>164</v>
      </c>
      <c r="C27" s="28" t="n">
        <v>46204</v>
      </c>
      <c r="D27" s="13" t="s">
        <v>71</v>
      </c>
      <c r="E27" s="13" t="s">
        <v>155</v>
      </c>
      <c r="F27" s="28" t="n">
        <v>46211</v>
      </c>
      <c r="G27" s="28" t="n">
        <v>46214</v>
      </c>
      <c r="H27" s="21" t="n">
        <v>179.9</v>
      </c>
      <c r="I27" s="21" t="n">
        <v>89.95</v>
      </c>
      <c r="J27" s="13" t="s">
        <v>7</v>
      </c>
      <c r="K27" s="13" t="str">
        <f aca="false">IF(A27="","",IFERROR(INDEX(Clientes!$B$2:$B$200,MATCH(B27,Clientes!$A$2:$A$200,0)),"Cliente no registrado"))</f>
        <v>Hugo Martín Serrano</v>
      </c>
      <c r="L27" s="13" t="str">
        <f aca="false">IF(A27="","",IF(OR(J27="Entregado",J27="Anulado"),"No","Sí"))</f>
        <v>No</v>
      </c>
      <c r="M27" s="13" t="str">
        <f aca="false">IF(A27="","",IF(J27="Entregado","Entregado",IF(J27="Anulado","Anulado",IF(F27="","Dato pendiente",IF(F27&lt;Control!$C$4,"Fuera de plazo","En plazo")))))</f>
        <v>Entregado</v>
      </c>
      <c r="N27" s="13" t="str">
        <f aca="false">IF(M27="Fuera de plazo",Control!$C$4-F27,"")</f>
        <v/>
      </c>
      <c r="O27" s="13" t="str">
        <f aca="false">IF(M27="Fuera de plazo",IF(J27="Listo para recoger","Cliente (no recoge)","Tienda o proveedor"),"")</f>
        <v/>
      </c>
      <c r="P27" s="13" t="n">
        <f aca="false">IF(A27="","",COUNTIF(Incidencias!$B$2:$B$151,A27))</f>
        <v>0</v>
      </c>
      <c r="Q27" s="13" t="n">
        <f aca="false">IF(A27="","",COUNTIFS(Incidencias!$B$2:$B$151,A27,Incidencias!$F$2:$F$151,"Abierta"))</f>
        <v>0</v>
      </c>
      <c r="R27" s="21" t="n">
        <f aca="false">IF(L27="Sí",H27-I27,IF(A27="","",0))</f>
        <v>0</v>
      </c>
      <c r="S27" s="13" t="str">
        <f aca="false">IF(AND(J27="Entregado",F27&lt;&gt;"",G27&lt;&gt;""),IF(G27&lt;=F27,"Sí","No"),"")</f>
        <v>No</v>
      </c>
      <c r="T27" s="13" t="str">
        <f aca="false">IF(A27="","",IF(K27="Cliente no registrado","Cliente sin dar de alta",IF(F27="","Falta fecha prevista",IF(AND(J27="Entregado",G27=""),"Entregado sin fecha de entrega",IF(ISNA(MATCH(J27,Inicio!$Z$1:$Z$6,0)),"Estado no reconocido",IF(F27&lt;C27,"Prevista anterior al pedido",IF(AND(G27&lt;&gt;"",G27&lt;C27),"Entrega anterior al pedido","")))))))</f>
        <v/>
      </c>
      <c r="U27" s="13" t="str">
        <f aca="false">IF(L27&lt;&gt;"Sí","",IF(M27="Dato pendiente","Poner fecha prevista y avisar al cliente",IF(M27="En plazo","Seguimiento normal",IF(J27="Listo para recoger","Recordar la recogida al cliente",IF(J27="Esperando pieza","Pedir fecha al proveedor y avisar al cliente",IF(J27="En taller","Revisar con el taller","Confirmar el pedido con el proveedor"))))))</f>
        <v/>
      </c>
      <c r="V27" s="29" t="str">
        <f aca="false">IF(M27="Dato pendiente",1000+ROW()/10000,IF(M27="Fuera de plazo",N27+ROW()/10000,""))</f>
        <v/>
      </c>
      <c r="W27" s="30" t="str">
        <f aca="false">IF(T27="","",ROW())</f>
        <v/>
      </c>
    </row>
    <row r="28" customFormat="false" ht="15" hidden="false" customHeight="false" outlineLevel="0" collapsed="false">
      <c r="A28" s="13" t="s">
        <v>165</v>
      </c>
      <c r="B28" s="13" t="s">
        <v>117</v>
      </c>
      <c r="C28" s="28" t="n">
        <v>46204</v>
      </c>
      <c r="D28" s="13" t="s">
        <v>67</v>
      </c>
      <c r="E28" s="13" t="s">
        <v>148</v>
      </c>
      <c r="F28" s="28" t="n">
        <v>46210</v>
      </c>
      <c r="G28" s="28" t="n">
        <v>46210</v>
      </c>
      <c r="H28" s="21" t="n">
        <v>129</v>
      </c>
      <c r="I28" s="21" t="n">
        <v>0</v>
      </c>
      <c r="J28" s="13" t="s">
        <v>7</v>
      </c>
      <c r="K28" s="13" t="str">
        <f aca="false">IF(A28="","",IFERROR(INDEX(Clientes!$B$2:$B$200,MATCH(B28,Clientes!$A$2:$A$200,0)),"Cliente no registrado"))</f>
        <v>Clínica Veterinaria Albaicín</v>
      </c>
      <c r="L28" s="13" t="str">
        <f aca="false">IF(A28="","",IF(OR(J28="Entregado",J28="Anulado"),"No","Sí"))</f>
        <v>No</v>
      </c>
      <c r="M28" s="13" t="str">
        <f aca="false">IF(A28="","",IF(J28="Entregado","Entregado",IF(J28="Anulado","Anulado",IF(F28="","Dato pendiente",IF(F28&lt;Control!$C$4,"Fuera de plazo","En plazo")))))</f>
        <v>Entregado</v>
      </c>
      <c r="N28" s="13" t="str">
        <f aca="false">IF(M28="Fuera de plazo",Control!$C$4-F28,"")</f>
        <v/>
      </c>
      <c r="O28" s="13" t="str">
        <f aca="false">IF(M28="Fuera de plazo",IF(J28="Listo para recoger","Cliente (no recoge)","Tienda o proveedor"),"")</f>
        <v/>
      </c>
      <c r="P28" s="13" t="n">
        <f aca="false">IF(A28="","",COUNTIF(Incidencias!$B$2:$B$151,A28))</f>
        <v>0</v>
      </c>
      <c r="Q28" s="13" t="n">
        <f aca="false">IF(A28="","",COUNTIFS(Incidencias!$B$2:$B$151,A28,Incidencias!$F$2:$F$151,"Abierta"))</f>
        <v>0</v>
      </c>
      <c r="R28" s="21" t="n">
        <f aca="false">IF(L28="Sí",H28-I28,IF(A28="","",0))</f>
        <v>0</v>
      </c>
      <c r="S28" s="13" t="str">
        <f aca="false">IF(AND(J28="Entregado",F28&lt;&gt;"",G28&lt;&gt;""),IF(G28&lt;=F28,"Sí","No"),"")</f>
        <v>Sí</v>
      </c>
      <c r="T28" s="13" t="str">
        <f aca="false">IF(A28="","",IF(K28="Cliente no registrado","Cliente sin dar de alta",IF(F28="","Falta fecha prevista",IF(AND(J28="Entregado",G28=""),"Entregado sin fecha de entrega",IF(ISNA(MATCH(J28,Inicio!$Z$1:$Z$6,0)),"Estado no reconocido",IF(F28&lt;C28,"Prevista anterior al pedido",IF(AND(G28&lt;&gt;"",G28&lt;C28),"Entrega anterior al pedido","")))))))</f>
        <v/>
      </c>
      <c r="U28" s="13" t="str">
        <f aca="false">IF(L28&lt;&gt;"Sí","",IF(M28="Dato pendiente","Poner fecha prevista y avisar al cliente",IF(M28="En plazo","Seguimiento normal",IF(J28="Listo para recoger","Recordar la recogida al cliente",IF(J28="Esperando pieza","Pedir fecha al proveedor y avisar al cliente",IF(J28="En taller","Revisar con el taller","Confirmar el pedido con el proveedor"))))))</f>
        <v/>
      </c>
      <c r="V28" s="29" t="str">
        <f aca="false">IF(M28="Dato pendiente",1000+ROW()/10000,IF(M28="Fuera de plazo",N28+ROW()/10000,""))</f>
        <v/>
      </c>
      <c r="W28" s="30" t="str">
        <f aca="false">IF(T28="","",ROW())</f>
        <v/>
      </c>
    </row>
    <row r="29" customFormat="false" ht="15" hidden="false" customHeight="false" outlineLevel="0" collapsed="false">
      <c r="A29" s="13" t="s">
        <v>166</v>
      </c>
      <c r="B29" s="13" t="s">
        <v>150</v>
      </c>
      <c r="C29" s="28" t="n">
        <v>46206</v>
      </c>
      <c r="D29" s="13" t="s">
        <v>70</v>
      </c>
      <c r="E29" s="13" t="s">
        <v>167</v>
      </c>
      <c r="F29" s="28" t="n">
        <v>46209</v>
      </c>
      <c r="G29" s="28" t="n">
        <v>46209</v>
      </c>
      <c r="H29" s="21" t="n">
        <v>849</v>
      </c>
      <c r="I29" s="21" t="n">
        <v>100</v>
      </c>
      <c r="J29" s="13" t="s">
        <v>7</v>
      </c>
      <c r="K29" s="13" t="str">
        <f aca="false">IF(A29="","",IFERROR(INDEX(Clientes!$B$2:$B$200,MATCH(B29,Clientes!$A$2:$A$200,0)),"Cliente no registrado"))</f>
        <v>Academia Nevada Idiomas</v>
      </c>
      <c r="L29" s="13" t="str">
        <f aca="false">IF(A29="","",IF(OR(J29="Entregado",J29="Anulado"),"No","Sí"))</f>
        <v>No</v>
      </c>
      <c r="M29" s="13" t="str">
        <f aca="false">IF(A29="","",IF(J29="Entregado","Entregado",IF(J29="Anulado","Anulado",IF(F29="","Dato pendiente",IF(F29&lt;Control!$C$4,"Fuera de plazo","En plazo")))))</f>
        <v>Entregado</v>
      </c>
      <c r="N29" s="13" t="str">
        <f aca="false">IF(M29="Fuera de plazo",Control!$C$4-F29,"")</f>
        <v/>
      </c>
      <c r="O29" s="13" t="str">
        <f aca="false">IF(M29="Fuera de plazo",IF(J29="Listo para recoger","Cliente (no recoge)","Tienda o proveedor"),"")</f>
        <v/>
      </c>
      <c r="P29" s="13" t="n">
        <f aca="false">IF(A29="","",COUNTIF(Incidencias!$B$2:$B$151,A29))</f>
        <v>0</v>
      </c>
      <c r="Q29" s="13" t="n">
        <f aca="false">IF(A29="","",COUNTIFS(Incidencias!$B$2:$B$151,A29,Incidencias!$F$2:$F$151,"Abierta"))</f>
        <v>0</v>
      </c>
      <c r="R29" s="21" t="n">
        <f aca="false">IF(L29="Sí",H29-I29,IF(A29="","",0))</f>
        <v>0</v>
      </c>
      <c r="S29" s="13" t="str">
        <f aca="false">IF(AND(J29="Entregado",F29&lt;&gt;"",G29&lt;&gt;""),IF(G29&lt;=F29,"Sí","No"),"")</f>
        <v>Sí</v>
      </c>
      <c r="T29" s="13" t="str">
        <f aca="false">IF(A29="","",IF(K29="Cliente no registrado","Cliente sin dar de alta",IF(F29="","Falta fecha prevista",IF(AND(J29="Entregado",G29=""),"Entregado sin fecha de entrega",IF(ISNA(MATCH(J29,Inicio!$Z$1:$Z$6,0)),"Estado no reconocido",IF(F29&lt;C29,"Prevista anterior al pedido",IF(AND(G29&lt;&gt;"",G29&lt;C29),"Entrega anterior al pedido","")))))))</f>
        <v/>
      </c>
      <c r="U29" s="13" t="str">
        <f aca="false">IF(L29&lt;&gt;"Sí","",IF(M29="Dato pendiente","Poner fecha prevista y avisar al cliente",IF(M29="En plazo","Seguimiento normal",IF(J29="Listo para recoger","Recordar la recogida al cliente",IF(J29="Esperando pieza","Pedir fecha al proveedor y avisar al cliente",IF(J29="En taller","Revisar con el taller","Confirmar el pedido con el proveedor"))))))</f>
        <v/>
      </c>
      <c r="V29" s="29" t="str">
        <f aca="false">IF(M29="Dato pendiente",1000+ROW()/10000,IF(M29="Fuera de plazo",N29+ROW()/10000,""))</f>
        <v/>
      </c>
      <c r="W29" s="30" t="str">
        <f aca="false">IF(T29="","",ROW())</f>
        <v/>
      </c>
    </row>
    <row r="30" customFormat="false" ht="15" hidden="false" customHeight="false" outlineLevel="0" collapsed="false">
      <c r="A30" s="13" t="s">
        <v>168</v>
      </c>
      <c r="B30" s="13" t="s">
        <v>105</v>
      </c>
      <c r="C30" s="28" t="n">
        <v>46206</v>
      </c>
      <c r="D30" s="13" t="s">
        <v>70</v>
      </c>
      <c r="E30" s="13" t="s">
        <v>151</v>
      </c>
      <c r="F30" s="28" t="n">
        <v>46210</v>
      </c>
      <c r="G30" s="28" t="n">
        <v>46213</v>
      </c>
      <c r="H30" s="21" t="n">
        <v>999</v>
      </c>
      <c r="I30" s="21" t="n">
        <v>0</v>
      </c>
      <c r="J30" s="13" t="s">
        <v>7</v>
      </c>
      <c r="K30" s="13" t="str">
        <f aca="false">IF(A30="","",IFERROR(INDEX(Clientes!$B$2:$B$200,MATCH(B30,Clientes!$A$2:$A$200,0)),"Cliente no registrado"))</f>
        <v>Marina Torres Blanco</v>
      </c>
      <c r="L30" s="13" t="str">
        <f aca="false">IF(A30="","",IF(OR(J30="Entregado",J30="Anulado"),"No","Sí"))</f>
        <v>No</v>
      </c>
      <c r="M30" s="13" t="str">
        <f aca="false">IF(A30="","",IF(J30="Entregado","Entregado",IF(J30="Anulado","Anulado",IF(F30="","Dato pendiente",IF(F30&lt;Control!$C$4,"Fuera de plazo","En plazo")))))</f>
        <v>Entregado</v>
      </c>
      <c r="N30" s="13" t="str">
        <f aca="false">IF(M30="Fuera de plazo",Control!$C$4-F30,"")</f>
        <v/>
      </c>
      <c r="O30" s="13" t="str">
        <f aca="false">IF(M30="Fuera de plazo",IF(J30="Listo para recoger","Cliente (no recoge)","Tienda o proveedor"),"")</f>
        <v/>
      </c>
      <c r="P30" s="13" t="n">
        <f aca="false">IF(A30="","",COUNTIF(Incidencias!$B$2:$B$151,A30))</f>
        <v>0</v>
      </c>
      <c r="Q30" s="13" t="n">
        <f aca="false">IF(A30="","",COUNTIFS(Incidencias!$B$2:$B$151,A30,Incidencias!$F$2:$F$151,"Abierta"))</f>
        <v>0</v>
      </c>
      <c r="R30" s="21" t="n">
        <f aca="false">IF(L30="Sí",H30-I30,IF(A30="","",0))</f>
        <v>0</v>
      </c>
      <c r="S30" s="13" t="str">
        <f aca="false">IF(AND(J30="Entregado",F30&lt;&gt;"",G30&lt;&gt;""),IF(G30&lt;=F30,"Sí","No"),"")</f>
        <v>No</v>
      </c>
      <c r="T30" s="13" t="str">
        <f aca="false">IF(A30="","",IF(K30="Cliente no registrado","Cliente sin dar de alta",IF(F30="","Falta fecha prevista",IF(AND(J30="Entregado",G30=""),"Entregado sin fecha de entrega",IF(ISNA(MATCH(J30,Inicio!$Z$1:$Z$6,0)),"Estado no reconocido",IF(F30&lt;C30,"Prevista anterior al pedido",IF(AND(G30&lt;&gt;"",G30&lt;C30),"Entrega anterior al pedido","")))))))</f>
        <v/>
      </c>
      <c r="U30" s="13" t="str">
        <f aca="false">IF(L30&lt;&gt;"Sí","",IF(M30="Dato pendiente","Poner fecha prevista y avisar al cliente",IF(M30="En plazo","Seguimiento normal",IF(J30="Listo para recoger","Recordar la recogida al cliente",IF(J30="Esperando pieza","Pedir fecha al proveedor y avisar al cliente",IF(J30="En taller","Revisar con el taller","Confirmar el pedido con el proveedor"))))))</f>
        <v/>
      </c>
      <c r="V30" s="29" t="str">
        <f aca="false">IF(M30="Dato pendiente",1000+ROW()/10000,IF(M30="Fuera de plazo",N30+ROW()/10000,""))</f>
        <v/>
      </c>
      <c r="W30" s="30" t="str">
        <f aca="false">IF(T30="","",ROW())</f>
        <v/>
      </c>
    </row>
    <row r="31" customFormat="false" ht="15" hidden="false" customHeight="false" outlineLevel="0" collapsed="false">
      <c r="A31" s="13" t="s">
        <v>169</v>
      </c>
      <c r="B31" s="13" t="s">
        <v>111</v>
      </c>
      <c r="C31" s="28" t="n">
        <v>46210</v>
      </c>
      <c r="D31" s="13" t="s">
        <v>70</v>
      </c>
      <c r="E31" s="13" t="s">
        <v>106</v>
      </c>
      <c r="F31" s="28"/>
      <c r="G31" s="28" t="n">
        <v>46212</v>
      </c>
      <c r="H31" s="21" t="n">
        <v>1349</v>
      </c>
      <c r="I31" s="21" t="n">
        <v>100</v>
      </c>
      <c r="J31" s="13" t="s">
        <v>7</v>
      </c>
      <c r="K31" s="13" t="str">
        <f aca="false">IF(A31="","",IFERROR(INDEX(Clientes!$B$2:$B$200,MATCH(B31,Clientes!$A$2:$A$200,0)),"Cliente no registrado"))</f>
        <v>Gestoría Ruiz y Molina</v>
      </c>
      <c r="L31" s="13" t="str">
        <f aca="false">IF(A31="","",IF(OR(J31="Entregado",J31="Anulado"),"No","Sí"))</f>
        <v>No</v>
      </c>
      <c r="M31" s="13" t="str">
        <f aca="false">IF(A31="","",IF(J31="Entregado","Entregado",IF(J31="Anulado","Anulado",IF(F31="","Dato pendiente",IF(F31&lt;Control!$C$4,"Fuera de plazo","En plazo")))))</f>
        <v>Entregado</v>
      </c>
      <c r="N31" s="13" t="str">
        <f aca="false">IF(M31="Fuera de plazo",Control!$C$4-F31,"")</f>
        <v/>
      </c>
      <c r="O31" s="13" t="str">
        <f aca="false">IF(M31="Fuera de plazo",IF(J31="Listo para recoger","Cliente (no recoge)","Tienda o proveedor"),"")</f>
        <v/>
      </c>
      <c r="P31" s="13" t="n">
        <f aca="false">IF(A31="","",COUNTIF(Incidencias!$B$2:$B$151,A31))</f>
        <v>0</v>
      </c>
      <c r="Q31" s="13" t="n">
        <f aca="false">IF(A31="","",COUNTIFS(Incidencias!$B$2:$B$151,A31,Incidencias!$F$2:$F$151,"Abierta"))</f>
        <v>0</v>
      </c>
      <c r="R31" s="21" t="n">
        <f aca="false">IF(L31="Sí",H31-I31,IF(A31="","",0))</f>
        <v>0</v>
      </c>
      <c r="S31" s="13" t="str">
        <f aca="false">IF(AND(J31="Entregado",F31&lt;&gt;"",G31&lt;&gt;""),IF(G31&lt;=F31,"Sí","No"),"")</f>
        <v/>
      </c>
      <c r="T31" s="13" t="str">
        <f aca="false">IF(A31="","",IF(K31="Cliente no registrado","Cliente sin dar de alta",IF(F31="","Falta fecha prevista",IF(AND(J31="Entregado",G31=""),"Entregado sin fecha de entrega",IF(ISNA(MATCH(J31,Inicio!$Z$1:$Z$6,0)),"Estado no reconocido",IF(F31&lt;C31,"Prevista anterior al pedido",IF(AND(G31&lt;&gt;"",G31&lt;C31),"Entrega anterior al pedido","")))))))</f>
        <v>Falta fecha prevista</v>
      </c>
      <c r="U31" s="13" t="str">
        <f aca="false">IF(L31&lt;&gt;"Sí","",IF(M31="Dato pendiente","Poner fecha prevista y avisar al cliente",IF(M31="En plazo","Seguimiento normal",IF(J31="Listo para recoger","Recordar la recogida al cliente",IF(J31="Esperando pieza","Pedir fecha al proveedor y avisar al cliente",IF(J31="En taller","Revisar con el taller","Confirmar el pedido con el proveedor"))))))</f>
        <v/>
      </c>
      <c r="V31" s="29" t="str">
        <f aca="false">IF(M31="Dato pendiente",1000+ROW()/10000,IF(M31="Fuera de plazo",N31+ROW()/10000,""))</f>
        <v/>
      </c>
      <c r="W31" s="30" t="n">
        <f aca="false">IF(T31="","",ROW())</f>
        <v>31</v>
      </c>
    </row>
    <row r="32" customFormat="false" ht="15" hidden="false" customHeight="false" outlineLevel="0" collapsed="false">
      <c r="A32" s="13" t="s">
        <v>170</v>
      </c>
      <c r="B32" s="13" t="s">
        <v>114</v>
      </c>
      <c r="C32" s="28" t="n">
        <v>46210</v>
      </c>
      <c r="D32" s="13" t="s">
        <v>68</v>
      </c>
      <c r="E32" s="13" t="s">
        <v>171</v>
      </c>
      <c r="F32" s="28" t="n">
        <v>46216</v>
      </c>
      <c r="G32" s="28" t="n">
        <v>46216</v>
      </c>
      <c r="H32" s="21" t="n">
        <v>1149</v>
      </c>
      <c r="I32" s="21" t="n">
        <v>450</v>
      </c>
      <c r="J32" s="13" t="s">
        <v>7</v>
      </c>
      <c r="K32" s="13" t="str">
        <f aca="false">IF(A32="","",IFERROR(INDEX(Clientes!$B$2:$B$200,MATCH(B32,Clientes!$A$2:$A$200,0)),"Cliente no registrado"))</f>
        <v>Daniel Romero Gil</v>
      </c>
      <c r="L32" s="13" t="str">
        <f aca="false">IF(A32="","",IF(OR(J32="Entregado",J32="Anulado"),"No","Sí"))</f>
        <v>No</v>
      </c>
      <c r="M32" s="13" t="str">
        <f aca="false">IF(A32="","",IF(J32="Entregado","Entregado",IF(J32="Anulado","Anulado",IF(F32="","Dato pendiente",IF(F32&lt;Control!$C$4,"Fuera de plazo","En plazo")))))</f>
        <v>Entregado</v>
      </c>
      <c r="N32" s="13" t="str">
        <f aca="false">IF(M32="Fuera de plazo",Control!$C$4-F32,"")</f>
        <v/>
      </c>
      <c r="O32" s="13" t="str">
        <f aca="false">IF(M32="Fuera de plazo",IF(J32="Listo para recoger","Cliente (no recoge)","Tienda o proveedor"),"")</f>
        <v/>
      </c>
      <c r="P32" s="13" t="n">
        <f aca="false">IF(A32="","",COUNTIF(Incidencias!$B$2:$B$151,A32))</f>
        <v>1</v>
      </c>
      <c r="Q32" s="13" t="n">
        <f aca="false">IF(A32="","",COUNTIFS(Incidencias!$B$2:$B$151,A32,Incidencias!$F$2:$F$151,"Abierta"))</f>
        <v>0</v>
      </c>
      <c r="R32" s="21" t="n">
        <f aca="false">IF(L32="Sí",H32-I32,IF(A32="","",0))</f>
        <v>0</v>
      </c>
      <c r="S32" s="13" t="str">
        <f aca="false">IF(AND(J32="Entregado",F32&lt;&gt;"",G32&lt;&gt;""),IF(G32&lt;=F32,"Sí","No"),"")</f>
        <v>Sí</v>
      </c>
      <c r="T32" s="13" t="str">
        <f aca="false">IF(A32="","",IF(K32="Cliente no registrado","Cliente sin dar de alta",IF(F32="","Falta fecha prevista",IF(AND(J32="Entregado",G32=""),"Entregado sin fecha de entrega",IF(ISNA(MATCH(J32,Inicio!$Z$1:$Z$6,0)),"Estado no reconocido",IF(F32&lt;C32,"Prevista anterior al pedido",IF(AND(G32&lt;&gt;"",G32&lt;C32),"Entrega anterior al pedido","")))))))</f>
        <v/>
      </c>
      <c r="U32" s="13" t="str">
        <f aca="false">IF(L32&lt;&gt;"Sí","",IF(M32="Dato pendiente","Poner fecha prevista y avisar al cliente",IF(M32="En plazo","Seguimiento normal",IF(J32="Listo para recoger","Recordar la recogida al cliente",IF(J32="Esperando pieza","Pedir fecha al proveedor y avisar al cliente",IF(J32="En taller","Revisar con el taller","Confirmar el pedido con el proveedor"))))))</f>
        <v/>
      </c>
      <c r="V32" s="29" t="str">
        <f aca="false">IF(M32="Dato pendiente",1000+ROW()/10000,IF(M32="Fuera de plazo",N32+ROW()/10000,""))</f>
        <v/>
      </c>
      <c r="W32" s="30" t="str">
        <f aca="false">IF(T32="","",ROW())</f>
        <v/>
      </c>
    </row>
    <row r="33" customFormat="false" ht="15" hidden="false" customHeight="false" outlineLevel="0" collapsed="false">
      <c r="A33" s="13" t="s">
        <v>172</v>
      </c>
      <c r="B33" s="13" t="s">
        <v>164</v>
      </c>
      <c r="C33" s="28" t="n">
        <v>46212</v>
      </c>
      <c r="D33" s="13" t="s">
        <v>72</v>
      </c>
      <c r="E33" s="13" t="s">
        <v>129</v>
      </c>
      <c r="F33" s="28" t="n">
        <v>46218</v>
      </c>
      <c r="G33" s="28" t="n">
        <v>46218</v>
      </c>
      <c r="H33" s="21" t="n">
        <v>258</v>
      </c>
      <c r="I33" s="21" t="n">
        <v>0</v>
      </c>
      <c r="J33" s="13" t="s">
        <v>7</v>
      </c>
      <c r="K33" s="13" t="str">
        <f aca="false">IF(A33="","",IFERROR(INDEX(Clientes!$B$2:$B$200,MATCH(B33,Clientes!$A$2:$A$200,0)),"Cliente no registrado"))</f>
        <v>Hugo Martín Serrano</v>
      </c>
      <c r="L33" s="13" t="str">
        <f aca="false">IF(A33="","",IF(OR(J33="Entregado",J33="Anulado"),"No","Sí"))</f>
        <v>No</v>
      </c>
      <c r="M33" s="13" t="str">
        <f aca="false">IF(A33="","",IF(J33="Entregado","Entregado",IF(J33="Anulado","Anulado",IF(F33="","Dato pendiente",IF(F33&lt;Control!$C$4,"Fuera de plazo","En plazo")))))</f>
        <v>Entregado</v>
      </c>
      <c r="N33" s="13" t="str">
        <f aca="false">IF(M33="Fuera de plazo",Control!$C$4-F33,"")</f>
        <v/>
      </c>
      <c r="O33" s="13" t="str">
        <f aca="false">IF(M33="Fuera de plazo",IF(J33="Listo para recoger","Cliente (no recoge)","Tienda o proveedor"),"")</f>
        <v/>
      </c>
      <c r="P33" s="13" t="n">
        <f aca="false">IF(A33="","",COUNTIF(Incidencias!$B$2:$B$151,A33))</f>
        <v>0</v>
      </c>
      <c r="Q33" s="13" t="n">
        <f aca="false">IF(A33="","",COUNTIFS(Incidencias!$B$2:$B$151,A33,Incidencias!$F$2:$F$151,"Abierta"))</f>
        <v>0</v>
      </c>
      <c r="R33" s="21" t="n">
        <f aca="false">IF(L33="Sí",H33-I33,IF(A33="","",0))</f>
        <v>0</v>
      </c>
      <c r="S33" s="13" t="str">
        <f aca="false">IF(AND(J33="Entregado",F33&lt;&gt;"",G33&lt;&gt;""),IF(G33&lt;=F33,"Sí","No"),"")</f>
        <v>Sí</v>
      </c>
      <c r="T33" s="13" t="str">
        <f aca="false">IF(A33="","",IF(K33="Cliente no registrado","Cliente sin dar de alta",IF(F33="","Falta fecha prevista",IF(AND(J33="Entregado",G33=""),"Entregado sin fecha de entrega",IF(ISNA(MATCH(J33,Inicio!$Z$1:$Z$6,0)),"Estado no reconocido",IF(F33&lt;C33,"Prevista anterior al pedido",IF(AND(G33&lt;&gt;"",G33&lt;C33),"Entrega anterior al pedido","")))))))</f>
        <v/>
      </c>
      <c r="U33" s="13" t="str">
        <f aca="false">IF(L33&lt;&gt;"Sí","",IF(M33="Dato pendiente","Poner fecha prevista y avisar al cliente",IF(M33="En plazo","Seguimiento normal",IF(J33="Listo para recoger","Recordar la recogida al cliente",IF(J33="Esperando pieza","Pedir fecha al proveedor y avisar al cliente",IF(J33="En taller","Revisar con el taller","Confirmar el pedido con el proveedor"))))))</f>
        <v/>
      </c>
      <c r="V33" s="29" t="str">
        <f aca="false">IF(M33="Dato pendiente",1000+ROW()/10000,IF(M33="Fuera de plazo",N33+ROW()/10000,""))</f>
        <v/>
      </c>
      <c r="W33" s="30" t="str">
        <f aca="false">IF(T33="","",ROW())</f>
        <v/>
      </c>
    </row>
    <row r="34" customFormat="false" ht="15" hidden="false" customHeight="false" outlineLevel="0" collapsed="false">
      <c r="A34" s="13" t="s">
        <v>173</v>
      </c>
      <c r="B34" s="13" t="s">
        <v>105</v>
      </c>
      <c r="C34" s="28" t="n">
        <v>46212</v>
      </c>
      <c r="D34" s="13" t="s">
        <v>69</v>
      </c>
      <c r="E34" s="13" t="s">
        <v>115</v>
      </c>
      <c r="F34" s="28" t="n">
        <v>46223</v>
      </c>
      <c r="G34" s="28" t="n">
        <v>46226</v>
      </c>
      <c r="H34" s="21" t="n">
        <v>139.9</v>
      </c>
      <c r="I34" s="21" t="n">
        <v>139.9</v>
      </c>
      <c r="J34" s="13" t="s">
        <v>7</v>
      </c>
      <c r="K34" s="13" t="str">
        <f aca="false">IF(A34="","",IFERROR(INDEX(Clientes!$B$2:$B$200,MATCH(B34,Clientes!$A$2:$A$200,0)),"Cliente no registrado"))</f>
        <v>Marina Torres Blanco</v>
      </c>
      <c r="L34" s="13" t="str">
        <f aca="false">IF(A34="","",IF(OR(J34="Entregado",J34="Anulado"),"No","Sí"))</f>
        <v>No</v>
      </c>
      <c r="M34" s="13" t="str">
        <f aca="false">IF(A34="","",IF(J34="Entregado","Entregado",IF(J34="Anulado","Anulado",IF(F34="","Dato pendiente",IF(F34&lt;Control!$C$4,"Fuera de plazo","En plazo")))))</f>
        <v>Entregado</v>
      </c>
      <c r="N34" s="13" t="str">
        <f aca="false">IF(M34="Fuera de plazo",Control!$C$4-F34,"")</f>
        <v/>
      </c>
      <c r="O34" s="13" t="str">
        <f aca="false">IF(M34="Fuera de plazo",IF(J34="Listo para recoger","Cliente (no recoge)","Tienda o proveedor"),"")</f>
        <v/>
      </c>
      <c r="P34" s="13" t="n">
        <f aca="false">IF(A34="","",COUNTIF(Incidencias!$B$2:$B$151,A34))</f>
        <v>0</v>
      </c>
      <c r="Q34" s="13" t="n">
        <f aca="false">IF(A34="","",COUNTIFS(Incidencias!$B$2:$B$151,A34,Incidencias!$F$2:$F$151,"Abierta"))</f>
        <v>0</v>
      </c>
      <c r="R34" s="21" t="n">
        <f aca="false">IF(L34="Sí",H34-I34,IF(A34="","",0))</f>
        <v>0</v>
      </c>
      <c r="S34" s="13" t="str">
        <f aca="false">IF(AND(J34="Entregado",F34&lt;&gt;"",G34&lt;&gt;""),IF(G34&lt;=F34,"Sí","No"),"")</f>
        <v>No</v>
      </c>
      <c r="T34" s="13" t="str">
        <f aca="false">IF(A34="","",IF(K34="Cliente no registrado","Cliente sin dar de alta",IF(F34="","Falta fecha prevista",IF(AND(J34="Entregado",G34=""),"Entregado sin fecha de entrega",IF(ISNA(MATCH(J34,Inicio!$Z$1:$Z$6,0)),"Estado no reconocido",IF(F34&lt;C34,"Prevista anterior al pedido",IF(AND(G34&lt;&gt;"",G34&lt;C34),"Entrega anterior al pedido","")))))))</f>
        <v/>
      </c>
      <c r="U34" s="13" t="str">
        <f aca="false">IF(L34&lt;&gt;"Sí","",IF(M34="Dato pendiente","Poner fecha prevista y avisar al cliente",IF(M34="En plazo","Seguimiento normal",IF(J34="Listo para recoger","Recordar la recogida al cliente",IF(J34="Esperando pieza","Pedir fecha al proveedor y avisar al cliente",IF(J34="En taller","Revisar con el taller","Confirmar el pedido con el proveedor"))))))</f>
        <v/>
      </c>
      <c r="V34" s="29" t="str">
        <f aca="false">IF(M34="Dato pendiente",1000+ROW()/10000,IF(M34="Fuera de plazo",N34+ROW()/10000,""))</f>
        <v/>
      </c>
      <c r="W34" s="30" t="str">
        <f aca="false">IF(T34="","",ROW())</f>
        <v/>
      </c>
    </row>
    <row r="35" customFormat="false" ht="15" hidden="false" customHeight="false" outlineLevel="0" collapsed="false">
      <c r="A35" s="13" t="s">
        <v>174</v>
      </c>
      <c r="B35" s="13" t="s">
        <v>175</v>
      </c>
      <c r="C35" s="28" t="n">
        <v>46217</v>
      </c>
      <c r="D35" s="13" t="s">
        <v>72</v>
      </c>
      <c r="E35" s="13" t="s">
        <v>129</v>
      </c>
      <c r="F35" s="28" t="n">
        <v>46220</v>
      </c>
      <c r="G35" s="28" t="n">
        <v>46220</v>
      </c>
      <c r="H35" s="21" t="n">
        <v>258</v>
      </c>
      <c r="I35" s="21" t="n">
        <v>258</v>
      </c>
      <c r="J35" s="13" t="s">
        <v>7</v>
      </c>
      <c r="K35" s="13" t="str">
        <f aca="false">IF(A35="","",IFERROR(INDEX(Clientes!$B$2:$B$200,MATCH(B35,Clientes!$A$2:$A$200,0)),"Cliente no registrado"))</f>
        <v>Estudio Arco Diseño</v>
      </c>
      <c r="L35" s="13" t="str">
        <f aca="false">IF(A35="","",IF(OR(J35="Entregado",J35="Anulado"),"No","Sí"))</f>
        <v>No</v>
      </c>
      <c r="M35" s="13" t="str">
        <f aca="false">IF(A35="","",IF(J35="Entregado","Entregado",IF(J35="Anulado","Anulado",IF(F35="","Dato pendiente",IF(F35&lt;Control!$C$4,"Fuera de plazo","En plazo")))))</f>
        <v>Entregado</v>
      </c>
      <c r="N35" s="13" t="str">
        <f aca="false">IF(M35="Fuera de plazo",Control!$C$4-F35,"")</f>
        <v/>
      </c>
      <c r="O35" s="13" t="str">
        <f aca="false">IF(M35="Fuera de plazo",IF(J35="Listo para recoger","Cliente (no recoge)","Tienda o proveedor"),"")</f>
        <v/>
      </c>
      <c r="P35" s="13" t="n">
        <f aca="false">IF(A35="","",COUNTIF(Incidencias!$B$2:$B$151,A35))</f>
        <v>0</v>
      </c>
      <c r="Q35" s="13" t="n">
        <f aca="false">IF(A35="","",COUNTIFS(Incidencias!$B$2:$B$151,A35,Incidencias!$F$2:$F$151,"Abierta"))</f>
        <v>0</v>
      </c>
      <c r="R35" s="21" t="n">
        <f aca="false">IF(L35="Sí",H35-I35,IF(A35="","",0))</f>
        <v>0</v>
      </c>
      <c r="S35" s="13" t="str">
        <f aca="false">IF(AND(J35="Entregado",F35&lt;&gt;"",G35&lt;&gt;""),IF(G35&lt;=F35,"Sí","No"),"")</f>
        <v>Sí</v>
      </c>
      <c r="T35" s="13" t="str">
        <f aca="false">IF(A35="","",IF(K35="Cliente no registrado","Cliente sin dar de alta",IF(F35="","Falta fecha prevista",IF(AND(J35="Entregado",G35=""),"Entregado sin fecha de entrega",IF(ISNA(MATCH(J35,Inicio!$Z$1:$Z$6,0)),"Estado no reconocido",IF(F35&lt;C35,"Prevista anterior al pedido",IF(AND(G35&lt;&gt;"",G35&lt;C35),"Entrega anterior al pedido","")))))))</f>
        <v/>
      </c>
      <c r="U35" s="13" t="str">
        <f aca="false">IF(L35&lt;&gt;"Sí","",IF(M35="Dato pendiente","Poner fecha prevista y avisar al cliente",IF(M35="En plazo","Seguimiento normal",IF(J35="Listo para recoger","Recordar la recogida al cliente",IF(J35="Esperando pieza","Pedir fecha al proveedor y avisar al cliente",IF(J35="En taller","Revisar con el taller","Confirmar el pedido con el proveedor"))))))</f>
        <v/>
      </c>
      <c r="V35" s="29" t="str">
        <f aca="false">IF(M35="Dato pendiente",1000+ROW()/10000,IF(M35="Fuera de plazo",N35+ROW()/10000,""))</f>
        <v/>
      </c>
      <c r="W35" s="30" t="str">
        <f aca="false">IF(T35="","",ROW())</f>
        <v/>
      </c>
    </row>
    <row r="36" customFormat="false" ht="15" hidden="false" customHeight="false" outlineLevel="0" collapsed="false">
      <c r="A36" s="13" t="s">
        <v>176</v>
      </c>
      <c r="B36" s="13" t="s">
        <v>105</v>
      </c>
      <c r="C36" s="28" t="n">
        <v>46217</v>
      </c>
      <c r="D36" s="13" t="s">
        <v>69</v>
      </c>
      <c r="E36" s="13" t="s">
        <v>123</v>
      </c>
      <c r="F36" s="28" t="n">
        <v>46225</v>
      </c>
      <c r="G36" s="28" t="n">
        <v>46226</v>
      </c>
      <c r="H36" s="21" t="n">
        <v>329.9</v>
      </c>
      <c r="I36" s="21" t="n">
        <v>50</v>
      </c>
      <c r="J36" s="13" t="s">
        <v>7</v>
      </c>
      <c r="K36" s="13" t="str">
        <f aca="false">IF(A36="","",IFERROR(INDEX(Clientes!$B$2:$B$200,MATCH(B36,Clientes!$A$2:$A$200,0)),"Cliente no registrado"))</f>
        <v>Marina Torres Blanco</v>
      </c>
      <c r="L36" s="13" t="str">
        <f aca="false">IF(A36="","",IF(OR(J36="Entregado",J36="Anulado"),"No","Sí"))</f>
        <v>No</v>
      </c>
      <c r="M36" s="13" t="str">
        <f aca="false">IF(A36="","",IF(J36="Entregado","Entregado",IF(J36="Anulado","Anulado",IF(F36="","Dato pendiente",IF(F36&lt;Control!$C$4,"Fuera de plazo","En plazo")))))</f>
        <v>Entregado</v>
      </c>
      <c r="N36" s="13" t="str">
        <f aca="false">IF(M36="Fuera de plazo",Control!$C$4-F36,"")</f>
        <v/>
      </c>
      <c r="O36" s="13" t="str">
        <f aca="false">IF(M36="Fuera de plazo",IF(J36="Listo para recoger","Cliente (no recoge)","Tienda o proveedor"),"")</f>
        <v/>
      </c>
      <c r="P36" s="13" t="n">
        <f aca="false">IF(A36="","",COUNTIF(Incidencias!$B$2:$B$151,A36))</f>
        <v>0</v>
      </c>
      <c r="Q36" s="13" t="n">
        <f aca="false">IF(A36="","",COUNTIFS(Incidencias!$B$2:$B$151,A36,Incidencias!$F$2:$F$151,"Abierta"))</f>
        <v>0</v>
      </c>
      <c r="R36" s="21" t="n">
        <f aca="false">IF(L36="Sí",H36-I36,IF(A36="","",0))</f>
        <v>0</v>
      </c>
      <c r="S36" s="13" t="str">
        <f aca="false">IF(AND(J36="Entregado",F36&lt;&gt;"",G36&lt;&gt;""),IF(G36&lt;=F36,"Sí","No"),"")</f>
        <v>No</v>
      </c>
      <c r="T36" s="13" t="str">
        <f aca="false">IF(A36="","",IF(K36="Cliente no registrado","Cliente sin dar de alta",IF(F36="","Falta fecha prevista",IF(AND(J36="Entregado",G36=""),"Entregado sin fecha de entrega",IF(ISNA(MATCH(J36,Inicio!$Z$1:$Z$6,0)),"Estado no reconocido",IF(F36&lt;C36,"Prevista anterior al pedido",IF(AND(G36&lt;&gt;"",G36&lt;C36),"Entrega anterior al pedido","")))))))</f>
        <v/>
      </c>
      <c r="U36" s="13" t="str">
        <f aca="false">IF(L36&lt;&gt;"Sí","",IF(M36="Dato pendiente","Poner fecha prevista y avisar al cliente",IF(M36="En plazo","Seguimiento normal",IF(J36="Listo para recoger","Recordar la recogida al cliente",IF(J36="Esperando pieza","Pedir fecha al proveedor y avisar al cliente",IF(J36="En taller","Revisar con el taller","Confirmar el pedido con el proveedor"))))))</f>
        <v/>
      </c>
      <c r="V36" s="29" t="str">
        <f aca="false">IF(M36="Dato pendiente",1000+ROW()/10000,IF(M36="Fuera de plazo",N36+ROW()/10000,""))</f>
        <v/>
      </c>
      <c r="W36" s="30" t="str">
        <f aca="false">IF(T36="","",ROW())</f>
        <v/>
      </c>
    </row>
    <row r="37" customFormat="false" ht="15" hidden="false" customHeight="false" outlineLevel="0" collapsed="false">
      <c r="A37" s="13" t="s">
        <v>177</v>
      </c>
      <c r="B37" s="13" t="s">
        <v>137</v>
      </c>
      <c r="C37" s="28" t="n">
        <v>46218</v>
      </c>
      <c r="D37" s="13" t="s">
        <v>72</v>
      </c>
      <c r="E37" s="13" t="s">
        <v>178</v>
      </c>
      <c r="F37" s="28" t="n">
        <v>46223</v>
      </c>
      <c r="G37" s="28" t="n">
        <v>46226</v>
      </c>
      <c r="H37" s="21" t="n">
        <v>129.9</v>
      </c>
      <c r="I37" s="21" t="n">
        <v>20</v>
      </c>
      <c r="J37" s="13" t="s">
        <v>7</v>
      </c>
      <c r="K37" s="13" t="str">
        <f aca="false">IF(A37="","",IFERROR(INDEX(Clientes!$B$2:$B$200,MATCH(B37,Clientes!$A$2:$A$200,0)),"Cliente no registrado"))</f>
        <v>Nerea Fuentes Cano</v>
      </c>
      <c r="L37" s="13" t="str">
        <f aca="false">IF(A37="","",IF(OR(J37="Entregado",J37="Anulado"),"No","Sí"))</f>
        <v>No</v>
      </c>
      <c r="M37" s="13" t="str">
        <f aca="false">IF(A37="","",IF(J37="Entregado","Entregado",IF(J37="Anulado","Anulado",IF(F37="","Dato pendiente",IF(F37&lt;Control!$C$4,"Fuera de plazo","En plazo")))))</f>
        <v>Entregado</v>
      </c>
      <c r="N37" s="13" t="str">
        <f aca="false">IF(M37="Fuera de plazo",Control!$C$4-F37,"")</f>
        <v/>
      </c>
      <c r="O37" s="13" t="str">
        <f aca="false">IF(M37="Fuera de plazo",IF(J37="Listo para recoger","Cliente (no recoge)","Tienda o proveedor"),"")</f>
        <v/>
      </c>
      <c r="P37" s="13" t="n">
        <f aca="false">IF(A37="","",COUNTIF(Incidencias!$B$2:$B$151,A37))</f>
        <v>0</v>
      </c>
      <c r="Q37" s="13" t="n">
        <f aca="false">IF(A37="","",COUNTIFS(Incidencias!$B$2:$B$151,A37,Incidencias!$F$2:$F$151,"Abierta"))</f>
        <v>0</v>
      </c>
      <c r="R37" s="21" t="n">
        <f aca="false">IF(L37="Sí",H37-I37,IF(A37="","",0))</f>
        <v>0</v>
      </c>
      <c r="S37" s="13" t="str">
        <f aca="false">IF(AND(J37="Entregado",F37&lt;&gt;"",G37&lt;&gt;""),IF(G37&lt;=F37,"Sí","No"),"")</f>
        <v>No</v>
      </c>
      <c r="T37" s="13" t="str">
        <f aca="false">IF(A37="","",IF(K37="Cliente no registrado","Cliente sin dar de alta",IF(F37="","Falta fecha prevista",IF(AND(J37="Entregado",G37=""),"Entregado sin fecha de entrega",IF(ISNA(MATCH(J37,Inicio!$Z$1:$Z$6,0)),"Estado no reconocido",IF(F37&lt;C37,"Prevista anterior al pedido",IF(AND(G37&lt;&gt;"",G37&lt;C37),"Entrega anterior al pedido","")))))))</f>
        <v/>
      </c>
      <c r="U37" s="13" t="str">
        <f aca="false">IF(L37&lt;&gt;"Sí","",IF(M37="Dato pendiente","Poner fecha prevista y avisar al cliente",IF(M37="En plazo","Seguimiento normal",IF(J37="Listo para recoger","Recordar la recogida al cliente",IF(J37="Esperando pieza","Pedir fecha al proveedor y avisar al cliente",IF(J37="En taller","Revisar con el taller","Confirmar el pedido con el proveedor"))))))</f>
        <v/>
      </c>
      <c r="V37" s="29" t="str">
        <f aca="false">IF(M37="Dato pendiente",1000+ROW()/10000,IF(M37="Fuera de plazo",N37+ROW()/10000,""))</f>
        <v/>
      </c>
      <c r="W37" s="30" t="str">
        <f aca="false">IF(T37="","",ROW())</f>
        <v/>
      </c>
    </row>
    <row r="38" customFormat="false" ht="15" hidden="false" customHeight="false" outlineLevel="0" collapsed="false">
      <c r="A38" s="13" t="s">
        <v>179</v>
      </c>
      <c r="B38" s="13" t="s">
        <v>157</v>
      </c>
      <c r="C38" s="28" t="n">
        <v>46219</v>
      </c>
      <c r="D38" s="13" t="s">
        <v>69</v>
      </c>
      <c r="E38" s="13" t="s">
        <v>109</v>
      </c>
      <c r="F38" s="28" t="n">
        <v>46224</v>
      </c>
      <c r="G38" s="28" t="n">
        <v>46227</v>
      </c>
      <c r="H38" s="21" t="n">
        <v>249</v>
      </c>
      <c r="I38" s="21" t="n">
        <v>50</v>
      </c>
      <c r="J38" s="13" t="s">
        <v>7</v>
      </c>
      <c r="K38" s="13" t="str">
        <f aca="false">IF(A38="","",IFERROR(INDEX(Clientes!$B$2:$B$200,MATCH(B38,Clientes!$A$2:$A$200,0)),"Cliente no registrado"))</f>
        <v>Laura Medina Ortiz</v>
      </c>
      <c r="L38" s="13" t="str">
        <f aca="false">IF(A38="","",IF(OR(J38="Entregado",J38="Anulado"),"No","Sí"))</f>
        <v>No</v>
      </c>
      <c r="M38" s="13" t="str">
        <f aca="false">IF(A38="","",IF(J38="Entregado","Entregado",IF(J38="Anulado","Anulado",IF(F38="","Dato pendiente",IF(F38&lt;Control!$C$4,"Fuera de plazo","En plazo")))))</f>
        <v>Entregado</v>
      </c>
      <c r="N38" s="13" t="str">
        <f aca="false">IF(M38="Fuera de plazo",Control!$C$4-F38,"")</f>
        <v/>
      </c>
      <c r="O38" s="13" t="str">
        <f aca="false">IF(M38="Fuera de plazo",IF(J38="Listo para recoger","Cliente (no recoge)","Tienda o proveedor"),"")</f>
        <v/>
      </c>
      <c r="P38" s="13" t="n">
        <f aca="false">IF(A38="","",COUNTIF(Incidencias!$B$2:$B$151,A38))</f>
        <v>0</v>
      </c>
      <c r="Q38" s="13" t="n">
        <f aca="false">IF(A38="","",COUNTIFS(Incidencias!$B$2:$B$151,A38,Incidencias!$F$2:$F$151,"Abierta"))</f>
        <v>0</v>
      </c>
      <c r="R38" s="21" t="n">
        <f aca="false">IF(L38="Sí",H38-I38,IF(A38="","",0))</f>
        <v>0</v>
      </c>
      <c r="S38" s="13" t="str">
        <f aca="false">IF(AND(J38="Entregado",F38&lt;&gt;"",G38&lt;&gt;""),IF(G38&lt;=F38,"Sí","No"),"")</f>
        <v>No</v>
      </c>
      <c r="T38" s="13" t="str">
        <f aca="false">IF(A38="","",IF(K38="Cliente no registrado","Cliente sin dar de alta",IF(F38="","Falta fecha prevista",IF(AND(J38="Entregado",G38=""),"Entregado sin fecha de entrega",IF(ISNA(MATCH(J38,Inicio!$Z$1:$Z$6,0)),"Estado no reconocido",IF(F38&lt;C38,"Prevista anterior al pedido",IF(AND(G38&lt;&gt;"",G38&lt;C38),"Entrega anterior al pedido","")))))))</f>
        <v/>
      </c>
      <c r="U38" s="13" t="str">
        <f aca="false">IF(L38&lt;&gt;"Sí","",IF(M38="Dato pendiente","Poner fecha prevista y avisar al cliente",IF(M38="En plazo","Seguimiento normal",IF(J38="Listo para recoger","Recordar la recogida al cliente",IF(J38="Esperando pieza","Pedir fecha al proveedor y avisar al cliente",IF(J38="En taller","Revisar con el taller","Confirmar el pedido con el proveedor"))))))</f>
        <v/>
      </c>
      <c r="V38" s="29" t="str">
        <f aca="false">IF(M38="Dato pendiente",1000+ROW()/10000,IF(M38="Fuera de plazo",N38+ROW()/10000,""))</f>
        <v/>
      </c>
      <c r="W38" s="30" t="str">
        <f aca="false">IF(T38="","",ROW())</f>
        <v/>
      </c>
    </row>
    <row r="39" customFormat="false" ht="15" hidden="false" customHeight="false" outlineLevel="0" collapsed="false">
      <c r="A39" s="13" t="s">
        <v>180</v>
      </c>
      <c r="B39" s="13" t="s">
        <v>119</v>
      </c>
      <c r="C39" s="28" t="n">
        <v>46228</v>
      </c>
      <c r="D39" s="13" t="s">
        <v>67</v>
      </c>
      <c r="E39" s="13" t="s">
        <v>146</v>
      </c>
      <c r="F39" s="28" t="n">
        <v>46233</v>
      </c>
      <c r="G39" s="28"/>
      <c r="H39" s="21" t="n">
        <v>79</v>
      </c>
      <c r="I39" s="21" t="n">
        <v>0</v>
      </c>
      <c r="J39" s="13" t="s">
        <v>5</v>
      </c>
      <c r="K39" s="13" t="str">
        <f aca="false">IF(A39="","",IFERROR(INDEX(Clientes!$B$2:$B$200,MATCH(B39,Clientes!$A$2:$A$200,0)),"Cliente no registrado"))</f>
        <v>Carmen López Jiménez</v>
      </c>
      <c r="L39" s="13" t="str">
        <f aca="false">IF(A39="","",IF(OR(J39="Entregado",J39="Anulado"),"No","Sí"))</f>
        <v>Sí</v>
      </c>
      <c r="M39" s="13" t="str">
        <f aca="false">IF(A39="","",IF(J39="Entregado","Entregado",IF(J39="Anulado","Anulado",IF(F39="","Dato pendiente",IF(F39&lt;Control!$C$4,"Fuera de plazo","En plazo")))))</f>
        <v>Fuera de plazo</v>
      </c>
      <c r="N39" s="13" t="n">
        <f aca="false">IF(M39="Fuera de plazo",Control!$C$4-F39,"")</f>
        <v>57</v>
      </c>
      <c r="O39" s="13" t="str">
        <f aca="false">IF(M39="Fuera de plazo",IF(J39="Listo para recoger","Cliente (no recoge)","Tienda o proveedor"),"")</f>
        <v>Cliente (no recoge)</v>
      </c>
      <c r="P39" s="13" t="n">
        <f aca="false">IF(A39="","",COUNTIF(Incidencias!$B$2:$B$151,A39))</f>
        <v>1</v>
      </c>
      <c r="Q39" s="13" t="n">
        <f aca="false">IF(A39="","",COUNTIFS(Incidencias!$B$2:$B$151,A39,Incidencias!$F$2:$F$151,"Abierta"))</f>
        <v>1</v>
      </c>
      <c r="R39" s="21" t="n">
        <f aca="false">IF(L39="Sí",H39-I39,IF(A39="","",0))</f>
        <v>79</v>
      </c>
      <c r="S39" s="13" t="str">
        <f aca="false">IF(AND(J39="Entregado",F39&lt;&gt;"",G39&lt;&gt;""),IF(G39&lt;=F39,"Sí","No"),"")</f>
        <v/>
      </c>
      <c r="T39" s="13" t="str">
        <f aca="false">IF(A39="","",IF(K39="Cliente no registrado","Cliente sin dar de alta",IF(F39="","Falta fecha prevista",IF(AND(J39="Entregado",G39=""),"Entregado sin fecha de entrega",IF(ISNA(MATCH(J39,Inicio!$Z$1:$Z$6,0)),"Estado no reconocido",IF(F39&lt;C39,"Prevista anterior al pedido",IF(AND(G39&lt;&gt;"",G39&lt;C39),"Entrega anterior al pedido","")))))))</f>
        <v/>
      </c>
      <c r="U39" s="13" t="str">
        <f aca="false">IF(L39&lt;&gt;"Sí","",IF(M39="Dato pendiente","Poner fecha prevista y avisar al cliente",IF(M39="En plazo","Seguimiento normal",IF(J39="Listo para recoger","Recordar la recogida al cliente",IF(J39="Esperando pieza","Pedir fecha al proveedor y avisar al cliente",IF(J39="En taller","Revisar con el taller","Confirmar el pedido con el proveedor"))))))</f>
        <v>Recordar la recogida al cliente</v>
      </c>
      <c r="V39" s="29" t="n">
        <f aca="false">IF(M39="Dato pendiente",1000+ROW()/10000,IF(M39="Fuera de plazo",N39+ROW()/10000,""))</f>
        <v>57.0039</v>
      </c>
      <c r="W39" s="30" t="str">
        <f aca="false">IF(T39="","",ROW())</f>
        <v/>
      </c>
    </row>
    <row r="40" customFormat="false" ht="15" hidden="false" customHeight="false" outlineLevel="0" collapsed="false">
      <c r="A40" s="13" t="s">
        <v>181</v>
      </c>
      <c r="B40" s="13" t="s">
        <v>150</v>
      </c>
      <c r="C40" s="28" t="n">
        <v>46234</v>
      </c>
      <c r="D40" s="13" t="s">
        <v>69</v>
      </c>
      <c r="E40" s="13" t="s">
        <v>115</v>
      </c>
      <c r="F40" s="28" t="n">
        <v>46242</v>
      </c>
      <c r="G40" s="28" t="n">
        <v>46245</v>
      </c>
      <c r="H40" s="21" t="n">
        <v>139.9</v>
      </c>
      <c r="I40" s="21" t="n">
        <v>50</v>
      </c>
      <c r="J40" s="13" t="s">
        <v>7</v>
      </c>
      <c r="K40" s="13" t="str">
        <f aca="false">IF(A40="","",IFERROR(INDEX(Clientes!$B$2:$B$200,MATCH(B40,Clientes!$A$2:$A$200,0)),"Cliente no registrado"))</f>
        <v>Academia Nevada Idiomas</v>
      </c>
      <c r="L40" s="13" t="str">
        <f aca="false">IF(A40="","",IF(OR(J40="Entregado",J40="Anulado"),"No","Sí"))</f>
        <v>No</v>
      </c>
      <c r="M40" s="13" t="str">
        <f aca="false">IF(A40="","",IF(J40="Entregado","Entregado",IF(J40="Anulado","Anulado",IF(F40="","Dato pendiente",IF(F40&lt;Control!$C$4,"Fuera de plazo","En plazo")))))</f>
        <v>Entregado</v>
      </c>
      <c r="N40" s="13" t="str">
        <f aca="false">IF(M40="Fuera de plazo",Control!$C$4-F40,"")</f>
        <v/>
      </c>
      <c r="O40" s="13" t="str">
        <f aca="false">IF(M40="Fuera de plazo",IF(J40="Listo para recoger","Cliente (no recoge)","Tienda o proveedor"),"")</f>
        <v/>
      </c>
      <c r="P40" s="13" t="n">
        <f aca="false">IF(A40="","",COUNTIF(Incidencias!$B$2:$B$151,A40))</f>
        <v>1</v>
      </c>
      <c r="Q40" s="13" t="n">
        <f aca="false">IF(A40="","",COUNTIFS(Incidencias!$B$2:$B$151,A40,Incidencias!$F$2:$F$151,"Abierta"))</f>
        <v>0</v>
      </c>
      <c r="R40" s="21" t="n">
        <f aca="false">IF(L40="Sí",H40-I40,IF(A40="","",0))</f>
        <v>0</v>
      </c>
      <c r="S40" s="13" t="str">
        <f aca="false">IF(AND(J40="Entregado",F40&lt;&gt;"",G40&lt;&gt;""),IF(G40&lt;=F40,"Sí","No"),"")</f>
        <v>No</v>
      </c>
      <c r="T40" s="13" t="str">
        <f aca="false">IF(A40="","",IF(K40="Cliente no registrado","Cliente sin dar de alta",IF(F40="","Falta fecha prevista",IF(AND(J40="Entregado",G40=""),"Entregado sin fecha de entrega",IF(ISNA(MATCH(J40,Inicio!$Z$1:$Z$6,0)),"Estado no reconocido",IF(F40&lt;C40,"Prevista anterior al pedido",IF(AND(G40&lt;&gt;"",G40&lt;C40),"Entrega anterior al pedido","")))))))</f>
        <v/>
      </c>
      <c r="U40" s="13" t="str">
        <f aca="false">IF(L40&lt;&gt;"Sí","",IF(M40="Dato pendiente","Poner fecha prevista y avisar al cliente",IF(M40="En plazo","Seguimiento normal",IF(J40="Listo para recoger","Recordar la recogida al cliente",IF(J40="Esperando pieza","Pedir fecha al proveedor y avisar al cliente",IF(J40="En taller","Revisar con el taller","Confirmar el pedido con el proveedor"))))))</f>
        <v/>
      </c>
      <c r="V40" s="29" t="str">
        <f aca="false">IF(M40="Dato pendiente",1000+ROW()/10000,IF(M40="Fuera de plazo",N40+ROW()/10000,""))</f>
        <v/>
      </c>
      <c r="W40" s="30" t="str">
        <f aca="false">IF(T40="","",ROW())</f>
        <v/>
      </c>
    </row>
    <row r="41" customFormat="false" ht="15" hidden="false" customHeight="false" outlineLevel="0" collapsed="false">
      <c r="A41" s="13" t="s">
        <v>182</v>
      </c>
      <c r="B41" s="13" t="s">
        <v>142</v>
      </c>
      <c r="C41" s="28" t="n">
        <v>46237</v>
      </c>
      <c r="D41" s="13" t="s">
        <v>70</v>
      </c>
      <c r="E41" s="13" t="s">
        <v>151</v>
      </c>
      <c r="F41" s="28" t="n">
        <v>46242</v>
      </c>
      <c r="G41" s="28"/>
      <c r="H41" s="21" t="n">
        <v>999</v>
      </c>
      <c r="I41" s="21" t="n">
        <v>100</v>
      </c>
      <c r="J41" s="13" t="s">
        <v>5</v>
      </c>
      <c r="K41" s="13" t="str">
        <f aca="false">IF(A41="","",IFERROR(INDEX(Clientes!$B$2:$B$200,MATCH(B41,Clientes!$A$2:$A$200,0)),"Cliente no registrado"))</f>
        <v>Álvaro Prieto Lozano</v>
      </c>
      <c r="L41" s="13" t="str">
        <f aca="false">IF(A41="","",IF(OR(J41="Entregado",J41="Anulado"),"No","Sí"))</f>
        <v>Sí</v>
      </c>
      <c r="M41" s="13" t="str">
        <f aca="false">IF(A41="","",IF(J41="Entregado","Entregado",IF(J41="Anulado","Anulado",IF(F41="","Dato pendiente",IF(F41&lt;Control!$C$4,"Fuera de plazo","En plazo")))))</f>
        <v>Fuera de plazo</v>
      </c>
      <c r="N41" s="13" t="n">
        <f aca="false">IF(M41="Fuera de plazo",Control!$C$4-F41,"")</f>
        <v>48</v>
      </c>
      <c r="O41" s="13" t="str">
        <f aca="false">IF(M41="Fuera de plazo",IF(J41="Listo para recoger","Cliente (no recoge)","Tienda o proveedor"),"")</f>
        <v>Cliente (no recoge)</v>
      </c>
      <c r="P41" s="13" t="n">
        <f aca="false">IF(A41="","",COUNTIF(Incidencias!$B$2:$B$151,A41))</f>
        <v>0</v>
      </c>
      <c r="Q41" s="13" t="n">
        <f aca="false">IF(A41="","",COUNTIFS(Incidencias!$B$2:$B$151,A41,Incidencias!$F$2:$F$151,"Abierta"))</f>
        <v>0</v>
      </c>
      <c r="R41" s="21" t="n">
        <f aca="false">IF(L41="Sí",H41-I41,IF(A41="","",0))</f>
        <v>899</v>
      </c>
      <c r="S41" s="13" t="str">
        <f aca="false">IF(AND(J41="Entregado",F41&lt;&gt;"",G41&lt;&gt;""),IF(G41&lt;=F41,"Sí","No"),"")</f>
        <v/>
      </c>
      <c r="T41" s="13" t="str">
        <f aca="false">IF(A41="","",IF(K41="Cliente no registrado","Cliente sin dar de alta",IF(F41="","Falta fecha prevista",IF(AND(J41="Entregado",G41=""),"Entregado sin fecha de entrega",IF(ISNA(MATCH(J41,Inicio!$Z$1:$Z$6,0)),"Estado no reconocido",IF(F41&lt;C41,"Prevista anterior al pedido",IF(AND(G41&lt;&gt;"",G41&lt;C41),"Entrega anterior al pedido","")))))))</f>
        <v/>
      </c>
      <c r="U41" s="13" t="str">
        <f aca="false">IF(L41&lt;&gt;"Sí","",IF(M41="Dato pendiente","Poner fecha prevista y avisar al cliente",IF(M41="En plazo","Seguimiento normal",IF(J41="Listo para recoger","Recordar la recogida al cliente",IF(J41="Esperando pieza","Pedir fecha al proveedor y avisar al cliente",IF(J41="En taller","Revisar con el taller","Confirmar el pedido con el proveedor"))))))</f>
        <v>Recordar la recogida al cliente</v>
      </c>
      <c r="V41" s="29" t="n">
        <f aca="false">IF(M41="Dato pendiente",1000+ROW()/10000,IF(M41="Fuera de plazo",N41+ROW()/10000,""))</f>
        <v>48.0041</v>
      </c>
      <c r="W41" s="30" t="str">
        <f aca="false">IF(T41="","",ROW())</f>
        <v/>
      </c>
    </row>
    <row r="42" customFormat="false" ht="15" hidden="false" customHeight="false" outlineLevel="0" collapsed="false">
      <c r="A42" s="13" t="s">
        <v>183</v>
      </c>
      <c r="B42" s="13" t="s">
        <v>175</v>
      </c>
      <c r="C42" s="28" t="n">
        <v>46239</v>
      </c>
      <c r="D42" s="13" t="s">
        <v>67</v>
      </c>
      <c r="E42" s="13" t="s">
        <v>184</v>
      </c>
      <c r="F42" s="28" t="n">
        <v>46244</v>
      </c>
      <c r="G42" s="28"/>
      <c r="H42" s="21" t="n">
        <v>59.9</v>
      </c>
      <c r="I42" s="21" t="n">
        <v>0</v>
      </c>
      <c r="J42" s="13" t="s">
        <v>8</v>
      </c>
      <c r="K42" s="13" t="str">
        <f aca="false">IF(A42="","",IFERROR(INDEX(Clientes!$B$2:$B$200,MATCH(B42,Clientes!$A$2:$A$200,0)),"Cliente no registrado"))</f>
        <v>Estudio Arco Diseño</v>
      </c>
      <c r="L42" s="13" t="str">
        <f aca="false">IF(A42="","",IF(OR(J42="Entregado",J42="Anulado"),"No","Sí"))</f>
        <v>No</v>
      </c>
      <c r="M42" s="13" t="str">
        <f aca="false">IF(A42="","",IF(J42="Entregado","Entregado",IF(J42="Anulado","Anulado",IF(F42="","Dato pendiente",IF(F42&lt;Control!$C$4,"Fuera de plazo","En plazo")))))</f>
        <v>Anulado</v>
      </c>
      <c r="N42" s="13" t="str">
        <f aca="false">IF(M42="Fuera de plazo",Control!$C$4-F42,"")</f>
        <v/>
      </c>
      <c r="O42" s="13" t="str">
        <f aca="false">IF(M42="Fuera de plazo",IF(J42="Listo para recoger","Cliente (no recoge)","Tienda o proveedor"),"")</f>
        <v/>
      </c>
      <c r="P42" s="13" t="n">
        <f aca="false">IF(A42="","",COUNTIF(Incidencias!$B$2:$B$151,A42))</f>
        <v>0</v>
      </c>
      <c r="Q42" s="13" t="n">
        <f aca="false">IF(A42="","",COUNTIFS(Incidencias!$B$2:$B$151,A42,Incidencias!$F$2:$F$151,"Abierta"))</f>
        <v>0</v>
      </c>
      <c r="R42" s="21" t="n">
        <f aca="false">IF(L42="Sí",H42-I42,IF(A42="","",0))</f>
        <v>0</v>
      </c>
      <c r="S42" s="13" t="str">
        <f aca="false">IF(AND(J42="Entregado",F42&lt;&gt;"",G42&lt;&gt;""),IF(G42&lt;=F42,"Sí","No"),"")</f>
        <v/>
      </c>
      <c r="T42" s="13" t="str">
        <f aca="false">IF(A42="","",IF(K42="Cliente no registrado","Cliente sin dar de alta",IF(F42="","Falta fecha prevista",IF(AND(J42="Entregado",G42=""),"Entregado sin fecha de entrega",IF(ISNA(MATCH(J42,Inicio!$Z$1:$Z$6,0)),"Estado no reconocido",IF(F42&lt;C42,"Prevista anterior al pedido",IF(AND(G42&lt;&gt;"",G42&lt;C42),"Entrega anterior al pedido","")))))))</f>
        <v/>
      </c>
      <c r="U42" s="13" t="str">
        <f aca="false">IF(L42&lt;&gt;"Sí","",IF(M42="Dato pendiente","Poner fecha prevista y avisar al cliente",IF(M42="En plazo","Seguimiento normal",IF(J42="Listo para recoger","Recordar la recogida al cliente",IF(J42="Esperando pieza","Pedir fecha al proveedor y avisar al cliente",IF(J42="En taller","Revisar con el taller","Confirmar el pedido con el proveedor"))))))</f>
        <v/>
      </c>
      <c r="V42" s="29" t="str">
        <f aca="false">IF(M42="Dato pendiente",1000+ROW()/10000,IF(M42="Fuera de plazo",N42+ROW()/10000,""))</f>
        <v/>
      </c>
      <c r="W42" s="30" t="str">
        <f aca="false">IF(T42="","",ROW())</f>
        <v/>
      </c>
    </row>
    <row r="43" customFormat="false" ht="15" hidden="false" customHeight="false" outlineLevel="0" collapsed="false">
      <c r="A43" s="13" t="s">
        <v>185</v>
      </c>
      <c r="B43" s="13" t="s">
        <v>175</v>
      </c>
      <c r="C43" s="28" t="n">
        <v>46239</v>
      </c>
      <c r="D43" s="13" t="s">
        <v>68</v>
      </c>
      <c r="E43" s="13" t="s">
        <v>186</v>
      </c>
      <c r="F43" s="28" t="n">
        <v>46244</v>
      </c>
      <c r="G43" s="28" t="n">
        <v>46245</v>
      </c>
      <c r="H43" s="21" t="n">
        <v>1494</v>
      </c>
      <c r="I43" s="21" t="n">
        <v>600</v>
      </c>
      <c r="J43" s="13" t="s">
        <v>7</v>
      </c>
      <c r="K43" s="13" t="str">
        <f aca="false">IF(A43="","",IFERROR(INDEX(Clientes!$B$2:$B$200,MATCH(B43,Clientes!$A$2:$A$200,0)),"Cliente no registrado"))</f>
        <v>Estudio Arco Diseño</v>
      </c>
      <c r="L43" s="13" t="str">
        <f aca="false">IF(A43="","",IF(OR(J43="Entregado",J43="Anulado"),"No","Sí"))</f>
        <v>No</v>
      </c>
      <c r="M43" s="13" t="str">
        <f aca="false">IF(A43="","",IF(J43="Entregado","Entregado",IF(J43="Anulado","Anulado",IF(F43="","Dato pendiente",IF(F43&lt;Control!$C$4,"Fuera de plazo","En plazo")))))</f>
        <v>Entregado</v>
      </c>
      <c r="N43" s="13" t="str">
        <f aca="false">IF(M43="Fuera de plazo",Control!$C$4-F43,"")</f>
        <v/>
      </c>
      <c r="O43" s="13" t="str">
        <f aca="false">IF(M43="Fuera de plazo",IF(J43="Listo para recoger","Cliente (no recoge)","Tienda o proveedor"),"")</f>
        <v/>
      </c>
      <c r="P43" s="13" t="n">
        <f aca="false">IF(A43="","",COUNTIF(Incidencias!$B$2:$B$151,A43))</f>
        <v>0</v>
      </c>
      <c r="Q43" s="13" t="n">
        <f aca="false">IF(A43="","",COUNTIFS(Incidencias!$B$2:$B$151,A43,Incidencias!$F$2:$F$151,"Abierta"))</f>
        <v>0</v>
      </c>
      <c r="R43" s="21" t="n">
        <f aca="false">IF(L43="Sí",H43-I43,IF(A43="","",0))</f>
        <v>0</v>
      </c>
      <c r="S43" s="13" t="str">
        <f aca="false">IF(AND(J43="Entregado",F43&lt;&gt;"",G43&lt;&gt;""),IF(G43&lt;=F43,"Sí","No"),"")</f>
        <v>No</v>
      </c>
      <c r="T43" s="13" t="str">
        <f aca="false">IF(A43="","",IF(K43="Cliente no registrado","Cliente sin dar de alta",IF(F43="","Falta fecha prevista",IF(AND(J43="Entregado",G43=""),"Entregado sin fecha de entrega",IF(ISNA(MATCH(J43,Inicio!$Z$1:$Z$6,0)),"Estado no reconocido",IF(F43&lt;C43,"Prevista anterior al pedido",IF(AND(G43&lt;&gt;"",G43&lt;C43),"Entrega anterior al pedido","")))))))</f>
        <v/>
      </c>
      <c r="U43" s="13" t="str">
        <f aca="false">IF(L43&lt;&gt;"Sí","",IF(M43="Dato pendiente","Poner fecha prevista y avisar al cliente",IF(M43="En plazo","Seguimiento normal",IF(J43="Listo para recoger","Recordar la recogida al cliente",IF(J43="Esperando pieza","Pedir fecha al proveedor y avisar al cliente",IF(J43="En taller","Revisar con el taller","Confirmar el pedido con el proveedor"))))))</f>
        <v/>
      </c>
      <c r="V43" s="29" t="str">
        <f aca="false">IF(M43="Dato pendiente",1000+ROW()/10000,IF(M43="Fuera de plazo",N43+ROW()/10000,""))</f>
        <v/>
      </c>
      <c r="W43" s="30" t="str">
        <f aca="false">IF(T43="","",ROW())</f>
        <v/>
      </c>
    </row>
    <row r="44" customFormat="false" ht="15" hidden="false" customHeight="false" outlineLevel="0" collapsed="false">
      <c r="A44" s="13" t="s">
        <v>187</v>
      </c>
      <c r="B44" s="13" t="s">
        <v>111</v>
      </c>
      <c r="C44" s="28" t="n">
        <v>46240</v>
      </c>
      <c r="D44" s="13" t="s">
        <v>69</v>
      </c>
      <c r="E44" s="13" t="s">
        <v>188</v>
      </c>
      <c r="F44" s="28" t="n">
        <v>46245</v>
      </c>
      <c r="G44" s="28" t="n">
        <v>46246</v>
      </c>
      <c r="H44" s="21" t="n">
        <v>84.9</v>
      </c>
      <c r="I44" s="21" t="n">
        <v>42.45</v>
      </c>
      <c r="J44" s="13" t="s">
        <v>7</v>
      </c>
      <c r="K44" s="13" t="str">
        <f aca="false">IF(A44="","",IFERROR(INDEX(Clientes!$B$2:$B$200,MATCH(B44,Clientes!$A$2:$A$200,0)),"Cliente no registrado"))</f>
        <v>Gestoría Ruiz y Molina</v>
      </c>
      <c r="L44" s="13" t="str">
        <f aca="false">IF(A44="","",IF(OR(J44="Entregado",J44="Anulado"),"No","Sí"))</f>
        <v>No</v>
      </c>
      <c r="M44" s="13" t="str">
        <f aca="false">IF(A44="","",IF(J44="Entregado","Entregado",IF(J44="Anulado","Anulado",IF(F44="","Dato pendiente",IF(F44&lt;Control!$C$4,"Fuera de plazo","En plazo")))))</f>
        <v>Entregado</v>
      </c>
      <c r="N44" s="13" t="str">
        <f aca="false">IF(M44="Fuera de plazo",Control!$C$4-F44,"")</f>
        <v/>
      </c>
      <c r="O44" s="13" t="str">
        <f aca="false">IF(M44="Fuera de plazo",IF(J44="Listo para recoger","Cliente (no recoge)","Tienda o proveedor"),"")</f>
        <v/>
      </c>
      <c r="P44" s="13" t="n">
        <f aca="false">IF(A44="","",COUNTIF(Incidencias!$B$2:$B$151,A44))</f>
        <v>0</v>
      </c>
      <c r="Q44" s="13" t="n">
        <f aca="false">IF(A44="","",COUNTIFS(Incidencias!$B$2:$B$151,A44,Incidencias!$F$2:$F$151,"Abierta"))</f>
        <v>0</v>
      </c>
      <c r="R44" s="21" t="n">
        <f aca="false">IF(L44="Sí",H44-I44,IF(A44="","",0))</f>
        <v>0</v>
      </c>
      <c r="S44" s="13" t="str">
        <f aca="false">IF(AND(J44="Entregado",F44&lt;&gt;"",G44&lt;&gt;""),IF(G44&lt;=F44,"Sí","No"),"")</f>
        <v>No</v>
      </c>
      <c r="T44" s="13" t="str">
        <f aca="false">IF(A44="","",IF(K44="Cliente no registrado","Cliente sin dar de alta",IF(F44="","Falta fecha prevista",IF(AND(J44="Entregado",G44=""),"Entregado sin fecha de entrega",IF(ISNA(MATCH(J44,Inicio!$Z$1:$Z$6,0)),"Estado no reconocido",IF(F44&lt;C44,"Prevista anterior al pedido",IF(AND(G44&lt;&gt;"",G44&lt;C44),"Entrega anterior al pedido","")))))))</f>
        <v/>
      </c>
      <c r="U44" s="13" t="str">
        <f aca="false">IF(L44&lt;&gt;"Sí","",IF(M44="Dato pendiente","Poner fecha prevista y avisar al cliente",IF(M44="En plazo","Seguimiento normal",IF(J44="Listo para recoger","Recordar la recogida al cliente",IF(J44="Esperando pieza","Pedir fecha al proveedor y avisar al cliente",IF(J44="En taller","Revisar con el taller","Confirmar el pedido con el proveedor"))))))</f>
        <v/>
      </c>
      <c r="V44" s="29" t="str">
        <f aca="false">IF(M44="Dato pendiente",1000+ROW()/10000,IF(M44="Fuera de plazo",N44+ROW()/10000,""))</f>
        <v/>
      </c>
      <c r="W44" s="30" t="str">
        <f aca="false">IF(T44="","",ROW())</f>
        <v/>
      </c>
    </row>
    <row r="45" customFormat="false" ht="15" hidden="false" customHeight="false" outlineLevel="0" collapsed="false">
      <c r="A45" s="13" t="s">
        <v>189</v>
      </c>
      <c r="B45" s="13" t="s">
        <v>117</v>
      </c>
      <c r="C45" s="28" t="n">
        <v>46242</v>
      </c>
      <c r="D45" s="13" t="s">
        <v>69</v>
      </c>
      <c r="E45" s="13" t="s">
        <v>123</v>
      </c>
      <c r="F45" s="28" t="n">
        <v>46247</v>
      </c>
      <c r="G45" s="28" t="n">
        <v>46259</v>
      </c>
      <c r="H45" s="21" t="n">
        <v>329.9</v>
      </c>
      <c r="I45" s="21" t="n">
        <v>329.9</v>
      </c>
      <c r="J45" s="13" t="s">
        <v>7</v>
      </c>
      <c r="K45" s="13" t="str">
        <f aca="false">IF(A45="","",IFERROR(INDEX(Clientes!$B$2:$B$200,MATCH(B45,Clientes!$A$2:$A$200,0)),"Cliente no registrado"))</f>
        <v>Clínica Veterinaria Albaicín</v>
      </c>
      <c r="L45" s="13" t="str">
        <f aca="false">IF(A45="","",IF(OR(J45="Entregado",J45="Anulado"),"No","Sí"))</f>
        <v>No</v>
      </c>
      <c r="M45" s="13" t="str">
        <f aca="false">IF(A45="","",IF(J45="Entregado","Entregado",IF(J45="Anulado","Anulado",IF(F45="","Dato pendiente",IF(F45&lt;Control!$C$4,"Fuera de plazo","En plazo")))))</f>
        <v>Entregado</v>
      </c>
      <c r="N45" s="13" t="str">
        <f aca="false">IF(M45="Fuera de plazo",Control!$C$4-F45,"")</f>
        <v/>
      </c>
      <c r="O45" s="13" t="str">
        <f aca="false">IF(M45="Fuera de plazo",IF(J45="Listo para recoger","Cliente (no recoge)","Tienda o proveedor"),"")</f>
        <v/>
      </c>
      <c r="P45" s="13" t="n">
        <f aca="false">IF(A45="","",COUNTIF(Incidencias!$B$2:$B$151,A45))</f>
        <v>0</v>
      </c>
      <c r="Q45" s="13" t="n">
        <f aca="false">IF(A45="","",COUNTIFS(Incidencias!$B$2:$B$151,A45,Incidencias!$F$2:$F$151,"Abierta"))</f>
        <v>0</v>
      </c>
      <c r="R45" s="21" t="n">
        <f aca="false">IF(L45="Sí",H45-I45,IF(A45="","",0))</f>
        <v>0</v>
      </c>
      <c r="S45" s="13" t="str">
        <f aca="false">IF(AND(J45="Entregado",F45&lt;&gt;"",G45&lt;&gt;""),IF(G45&lt;=F45,"Sí","No"),"")</f>
        <v>No</v>
      </c>
      <c r="T45" s="13" t="str">
        <f aca="false">IF(A45="","",IF(K45="Cliente no registrado","Cliente sin dar de alta",IF(F45="","Falta fecha prevista",IF(AND(J45="Entregado",G45=""),"Entregado sin fecha de entrega",IF(ISNA(MATCH(J45,Inicio!$Z$1:$Z$6,0)),"Estado no reconocido",IF(F45&lt;C45,"Prevista anterior al pedido",IF(AND(G45&lt;&gt;"",G45&lt;C45),"Entrega anterior al pedido","")))))))</f>
        <v/>
      </c>
      <c r="U45" s="13" t="str">
        <f aca="false">IF(L45&lt;&gt;"Sí","",IF(M45="Dato pendiente","Poner fecha prevista y avisar al cliente",IF(M45="En plazo","Seguimiento normal",IF(J45="Listo para recoger","Recordar la recogida al cliente",IF(J45="Esperando pieza","Pedir fecha al proveedor y avisar al cliente",IF(J45="En taller","Revisar con el taller","Confirmar el pedido con el proveedor"))))))</f>
        <v/>
      </c>
      <c r="V45" s="29" t="str">
        <f aca="false">IF(M45="Dato pendiente",1000+ROW()/10000,IF(M45="Fuera de plazo",N45+ROW()/10000,""))</f>
        <v/>
      </c>
      <c r="W45" s="30" t="str">
        <f aca="false">IF(T45="","",ROW())</f>
        <v/>
      </c>
    </row>
    <row r="46" customFormat="false" ht="15" hidden="false" customHeight="false" outlineLevel="0" collapsed="false">
      <c r="A46" s="13" t="s">
        <v>190</v>
      </c>
      <c r="B46" s="13" t="s">
        <v>137</v>
      </c>
      <c r="C46" s="28" t="n">
        <v>46244</v>
      </c>
      <c r="D46" s="13" t="s">
        <v>67</v>
      </c>
      <c r="E46" s="13" t="s">
        <v>135</v>
      </c>
      <c r="F46" s="28" t="n">
        <v>46247</v>
      </c>
      <c r="G46" s="28" t="n">
        <v>46247</v>
      </c>
      <c r="H46" s="21" t="n">
        <v>115</v>
      </c>
      <c r="I46" s="21" t="n">
        <v>0</v>
      </c>
      <c r="J46" s="13" t="s">
        <v>7</v>
      </c>
      <c r="K46" s="13" t="str">
        <f aca="false">IF(A46="","",IFERROR(INDEX(Clientes!$B$2:$B$200,MATCH(B46,Clientes!$A$2:$A$200,0)),"Cliente no registrado"))</f>
        <v>Nerea Fuentes Cano</v>
      </c>
      <c r="L46" s="13" t="str">
        <f aca="false">IF(A46="","",IF(OR(J46="Entregado",J46="Anulado"),"No","Sí"))</f>
        <v>No</v>
      </c>
      <c r="M46" s="13" t="str">
        <f aca="false">IF(A46="","",IF(J46="Entregado","Entregado",IF(J46="Anulado","Anulado",IF(F46="","Dato pendiente",IF(F46&lt;Control!$C$4,"Fuera de plazo","En plazo")))))</f>
        <v>Entregado</v>
      </c>
      <c r="N46" s="13" t="str">
        <f aca="false">IF(M46="Fuera de plazo",Control!$C$4-F46,"")</f>
        <v/>
      </c>
      <c r="O46" s="13" t="str">
        <f aca="false">IF(M46="Fuera de plazo",IF(J46="Listo para recoger","Cliente (no recoge)","Tienda o proveedor"),"")</f>
        <v/>
      </c>
      <c r="P46" s="13" t="n">
        <f aca="false">IF(A46="","",COUNTIF(Incidencias!$B$2:$B$151,A46))</f>
        <v>0</v>
      </c>
      <c r="Q46" s="13" t="n">
        <f aca="false">IF(A46="","",COUNTIFS(Incidencias!$B$2:$B$151,A46,Incidencias!$F$2:$F$151,"Abierta"))</f>
        <v>0</v>
      </c>
      <c r="R46" s="21" t="n">
        <f aca="false">IF(L46="Sí",H46-I46,IF(A46="","",0))</f>
        <v>0</v>
      </c>
      <c r="S46" s="13" t="str">
        <f aca="false">IF(AND(J46="Entregado",F46&lt;&gt;"",G46&lt;&gt;""),IF(G46&lt;=F46,"Sí","No"),"")</f>
        <v>Sí</v>
      </c>
      <c r="T46" s="13" t="str">
        <f aca="false">IF(A46="","",IF(K46="Cliente no registrado","Cliente sin dar de alta",IF(F46="","Falta fecha prevista",IF(AND(J46="Entregado",G46=""),"Entregado sin fecha de entrega",IF(ISNA(MATCH(J46,Inicio!$Z$1:$Z$6,0)),"Estado no reconocido",IF(F46&lt;C46,"Prevista anterior al pedido",IF(AND(G46&lt;&gt;"",G46&lt;C46),"Entrega anterior al pedido","")))))))</f>
        <v/>
      </c>
      <c r="U46" s="13" t="str">
        <f aca="false">IF(L46&lt;&gt;"Sí","",IF(M46="Dato pendiente","Poner fecha prevista y avisar al cliente",IF(M46="En plazo","Seguimiento normal",IF(J46="Listo para recoger","Recordar la recogida al cliente",IF(J46="Esperando pieza","Pedir fecha al proveedor y avisar al cliente",IF(J46="En taller","Revisar con el taller","Confirmar el pedido con el proveedor"))))))</f>
        <v/>
      </c>
      <c r="V46" s="29" t="str">
        <f aca="false">IF(M46="Dato pendiente",1000+ROW()/10000,IF(M46="Fuera de plazo",N46+ROW()/10000,""))</f>
        <v/>
      </c>
      <c r="W46" s="30" t="str">
        <f aca="false">IF(T46="","",ROW())</f>
        <v/>
      </c>
    </row>
    <row r="47" customFormat="false" ht="15" hidden="false" customHeight="false" outlineLevel="0" collapsed="false">
      <c r="A47" s="13" t="s">
        <v>191</v>
      </c>
      <c r="B47" s="13" t="s">
        <v>117</v>
      </c>
      <c r="C47" s="28" t="n">
        <v>46244</v>
      </c>
      <c r="D47" s="13" t="s">
        <v>72</v>
      </c>
      <c r="E47" s="13" t="s">
        <v>129</v>
      </c>
      <c r="F47" s="28" t="n">
        <v>46247</v>
      </c>
      <c r="G47" s="28" t="n">
        <v>46247</v>
      </c>
      <c r="H47" s="21" t="n">
        <v>258</v>
      </c>
      <c r="I47" s="21" t="n">
        <v>258</v>
      </c>
      <c r="J47" s="13" t="s">
        <v>7</v>
      </c>
      <c r="K47" s="13" t="str">
        <f aca="false">IF(A47="","",IFERROR(INDEX(Clientes!$B$2:$B$200,MATCH(B47,Clientes!$A$2:$A$200,0)),"Cliente no registrado"))</f>
        <v>Clínica Veterinaria Albaicín</v>
      </c>
      <c r="L47" s="13" t="str">
        <f aca="false">IF(A47="","",IF(OR(J47="Entregado",J47="Anulado"),"No","Sí"))</f>
        <v>No</v>
      </c>
      <c r="M47" s="13" t="str">
        <f aca="false">IF(A47="","",IF(J47="Entregado","Entregado",IF(J47="Anulado","Anulado",IF(F47="","Dato pendiente",IF(F47&lt;Control!$C$4,"Fuera de plazo","En plazo")))))</f>
        <v>Entregado</v>
      </c>
      <c r="N47" s="13" t="str">
        <f aca="false">IF(M47="Fuera de plazo",Control!$C$4-F47,"")</f>
        <v/>
      </c>
      <c r="O47" s="13" t="str">
        <f aca="false">IF(M47="Fuera de plazo",IF(J47="Listo para recoger","Cliente (no recoge)","Tienda o proveedor"),"")</f>
        <v/>
      </c>
      <c r="P47" s="13" t="n">
        <f aca="false">IF(A47="","",COUNTIF(Incidencias!$B$2:$B$151,A47))</f>
        <v>0</v>
      </c>
      <c r="Q47" s="13" t="n">
        <f aca="false">IF(A47="","",COUNTIFS(Incidencias!$B$2:$B$151,A47,Incidencias!$F$2:$F$151,"Abierta"))</f>
        <v>0</v>
      </c>
      <c r="R47" s="21" t="n">
        <f aca="false">IF(L47="Sí",H47-I47,IF(A47="","",0))</f>
        <v>0</v>
      </c>
      <c r="S47" s="13" t="str">
        <f aca="false">IF(AND(J47="Entregado",F47&lt;&gt;"",G47&lt;&gt;""),IF(G47&lt;=F47,"Sí","No"),"")</f>
        <v>Sí</v>
      </c>
      <c r="T47" s="13" t="str">
        <f aca="false">IF(A47="","",IF(K47="Cliente no registrado","Cliente sin dar de alta",IF(F47="","Falta fecha prevista",IF(AND(J47="Entregado",G47=""),"Entregado sin fecha de entrega",IF(ISNA(MATCH(J47,Inicio!$Z$1:$Z$6,0)),"Estado no reconocido",IF(F47&lt;C47,"Prevista anterior al pedido",IF(AND(G47&lt;&gt;"",G47&lt;C47),"Entrega anterior al pedido","")))))))</f>
        <v/>
      </c>
      <c r="U47" s="13" t="str">
        <f aca="false">IF(L47&lt;&gt;"Sí","",IF(M47="Dato pendiente","Poner fecha prevista y avisar al cliente",IF(M47="En plazo","Seguimiento normal",IF(J47="Listo para recoger","Recordar la recogida al cliente",IF(J47="Esperando pieza","Pedir fecha al proveedor y avisar al cliente",IF(J47="En taller","Revisar con el taller","Confirmar el pedido con el proveedor"))))))</f>
        <v/>
      </c>
      <c r="V47" s="29" t="str">
        <f aca="false">IF(M47="Dato pendiente",1000+ROW()/10000,IF(M47="Fuera de plazo",N47+ROW()/10000,""))</f>
        <v/>
      </c>
      <c r="W47" s="30" t="str">
        <f aca="false">IF(T47="","",ROW())</f>
        <v/>
      </c>
    </row>
    <row r="48" customFormat="false" ht="15" hidden="false" customHeight="false" outlineLevel="0" collapsed="false">
      <c r="A48" s="13" t="s">
        <v>192</v>
      </c>
      <c r="B48" s="13" t="s">
        <v>105</v>
      </c>
      <c r="C48" s="28" t="n">
        <v>46247</v>
      </c>
      <c r="D48" s="13" t="s">
        <v>67</v>
      </c>
      <c r="E48" s="13" t="s">
        <v>120</v>
      </c>
      <c r="F48" s="28" t="n">
        <v>46251</v>
      </c>
      <c r="G48" s="28" t="n">
        <v>46251</v>
      </c>
      <c r="H48" s="21" t="n">
        <v>95</v>
      </c>
      <c r="I48" s="21" t="n">
        <v>0</v>
      </c>
      <c r="J48" s="13" t="s">
        <v>7</v>
      </c>
      <c r="K48" s="13" t="str">
        <f aca="false">IF(A48="","",IFERROR(INDEX(Clientes!$B$2:$B$200,MATCH(B48,Clientes!$A$2:$A$200,0)),"Cliente no registrado"))</f>
        <v>Marina Torres Blanco</v>
      </c>
      <c r="L48" s="13" t="str">
        <f aca="false">IF(A48="","",IF(OR(J48="Entregado",J48="Anulado"),"No","Sí"))</f>
        <v>No</v>
      </c>
      <c r="M48" s="13" t="str">
        <f aca="false">IF(A48="","",IF(J48="Entregado","Entregado",IF(J48="Anulado","Anulado",IF(F48="","Dato pendiente",IF(F48&lt;Control!$C$4,"Fuera de plazo","En plazo")))))</f>
        <v>Entregado</v>
      </c>
      <c r="N48" s="13" t="str">
        <f aca="false">IF(M48="Fuera de plazo",Control!$C$4-F48,"")</f>
        <v/>
      </c>
      <c r="O48" s="13" t="str">
        <f aca="false">IF(M48="Fuera de plazo",IF(J48="Listo para recoger","Cliente (no recoge)","Tienda o proveedor"),"")</f>
        <v/>
      </c>
      <c r="P48" s="13" t="n">
        <f aca="false">IF(A48="","",COUNTIF(Incidencias!$B$2:$B$151,A48))</f>
        <v>0</v>
      </c>
      <c r="Q48" s="13" t="n">
        <f aca="false">IF(A48="","",COUNTIFS(Incidencias!$B$2:$B$151,A48,Incidencias!$F$2:$F$151,"Abierta"))</f>
        <v>0</v>
      </c>
      <c r="R48" s="21" t="n">
        <f aca="false">IF(L48="Sí",H48-I48,IF(A48="","",0))</f>
        <v>0</v>
      </c>
      <c r="S48" s="13" t="str">
        <f aca="false">IF(AND(J48="Entregado",F48&lt;&gt;"",G48&lt;&gt;""),IF(G48&lt;=F48,"Sí","No"),"")</f>
        <v>Sí</v>
      </c>
      <c r="T48" s="13" t="str">
        <f aca="false">IF(A48="","",IF(K48="Cliente no registrado","Cliente sin dar de alta",IF(F48="","Falta fecha prevista",IF(AND(J48="Entregado",G48=""),"Entregado sin fecha de entrega",IF(ISNA(MATCH(J48,Inicio!$Z$1:$Z$6,0)),"Estado no reconocido",IF(F48&lt;C48,"Prevista anterior al pedido",IF(AND(G48&lt;&gt;"",G48&lt;C48),"Entrega anterior al pedido","")))))))</f>
        <v/>
      </c>
      <c r="U48" s="13" t="str">
        <f aca="false">IF(L48&lt;&gt;"Sí","",IF(M48="Dato pendiente","Poner fecha prevista y avisar al cliente",IF(M48="En plazo","Seguimiento normal",IF(J48="Listo para recoger","Recordar la recogida al cliente",IF(J48="Esperando pieza","Pedir fecha al proveedor y avisar al cliente",IF(J48="En taller","Revisar con el taller","Confirmar el pedido con el proveedor"))))))</f>
        <v/>
      </c>
      <c r="V48" s="29" t="str">
        <f aca="false">IF(M48="Dato pendiente",1000+ROW()/10000,IF(M48="Fuera de plazo",N48+ROW()/10000,""))</f>
        <v/>
      </c>
      <c r="W48" s="30" t="str">
        <f aca="false">IF(T48="","",ROW())</f>
        <v/>
      </c>
    </row>
    <row r="49" customFormat="false" ht="15" hidden="false" customHeight="false" outlineLevel="0" collapsed="false">
      <c r="A49" s="13" t="s">
        <v>193</v>
      </c>
      <c r="B49" s="13" t="s">
        <v>108</v>
      </c>
      <c r="C49" s="28" t="n">
        <v>46254</v>
      </c>
      <c r="D49" s="13" t="s">
        <v>71</v>
      </c>
      <c r="E49" s="13" t="s">
        <v>194</v>
      </c>
      <c r="F49" s="28" t="n">
        <v>46261</v>
      </c>
      <c r="G49" s="28" t="n">
        <v>46261</v>
      </c>
      <c r="H49" s="21" t="n">
        <v>689</v>
      </c>
      <c r="I49" s="21" t="n">
        <v>344.5</v>
      </c>
      <c r="J49" s="13" t="s">
        <v>7</v>
      </c>
      <c r="K49" s="13" t="str">
        <f aca="false">IF(A49="","",IFERROR(INDEX(Clientes!$B$2:$B$200,MATCH(B49,Clientes!$A$2:$A$200,0)),"Cliente no registrado"))</f>
        <v>Raúl Herrero Campos</v>
      </c>
      <c r="L49" s="13" t="str">
        <f aca="false">IF(A49="","",IF(OR(J49="Entregado",J49="Anulado"),"No","Sí"))</f>
        <v>No</v>
      </c>
      <c r="M49" s="13" t="str">
        <f aca="false">IF(A49="","",IF(J49="Entregado","Entregado",IF(J49="Anulado","Anulado",IF(F49="","Dato pendiente",IF(F49&lt;Control!$C$4,"Fuera de plazo","En plazo")))))</f>
        <v>Entregado</v>
      </c>
      <c r="N49" s="13" t="str">
        <f aca="false">IF(M49="Fuera de plazo",Control!$C$4-F49,"")</f>
        <v/>
      </c>
      <c r="O49" s="13" t="str">
        <f aca="false">IF(M49="Fuera de plazo",IF(J49="Listo para recoger","Cliente (no recoge)","Tienda o proveedor"),"")</f>
        <v/>
      </c>
      <c r="P49" s="13" t="n">
        <f aca="false">IF(A49="","",COUNTIF(Incidencias!$B$2:$B$151,A49))</f>
        <v>0</v>
      </c>
      <c r="Q49" s="13" t="n">
        <f aca="false">IF(A49="","",COUNTIFS(Incidencias!$B$2:$B$151,A49,Incidencias!$F$2:$F$151,"Abierta"))</f>
        <v>0</v>
      </c>
      <c r="R49" s="21" t="n">
        <f aca="false">IF(L49="Sí",H49-I49,IF(A49="","",0))</f>
        <v>0</v>
      </c>
      <c r="S49" s="13" t="str">
        <f aca="false">IF(AND(J49="Entregado",F49&lt;&gt;"",G49&lt;&gt;""),IF(G49&lt;=F49,"Sí","No"),"")</f>
        <v>Sí</v>
      </c>
      <c r="T49" s="13" t="str">
        <f aca="false">IF(A49="","",IF(K49="Cliente no registrado","Cliente sin dar de alta",IF(F49="","Falta fecha prevista",IF(AND(J49="Entregado",G49=""),"Entregado sin fecha de entrega",IF(ISNA(MATCH(J49,Inicio!$Z$1:$Z$6,0)),"Estado no reconocido",IF(F49&lt;C49,"Prevista anterior al pedido",IF(AND(G49&lt;&gt;"",G49&lt;C49),"Entrega anterior al pedido","")))))))</f>
        <v/>
      </c>
      <c r="U49" s="13" t="str">
        <f aca="false">IF(L49&lt;&gt;"Sí","",IF(M49="Dato pendiente","Poner fecha prevista y avisar al cliente",IF(M49="En plazo","Seguimiento normal",IF(J49="Listo para recoger","Recordar la recogida al cliente",IF(J49="Esperando pieza","Pedir fecha al proveedor y avisar al cliente",IF(J49="En taller","Revisar con el taller","Confirmar el pedido con el proveedor"))))))</f>
        <v/>
      </c>
      <c r="V49" s="29" t="str">
        <f aca="false">IF(M49="Dato pendiente",1000+ROW()/10000,IF(M49="Fuera de plazo",N49+ROW()/10000,""))</f>
        <v/>
      </c>
      <c r="W49" s="30" t="str">
        <f aca="false">IF(T49="","",ROW())</f>
        <v/>
      </c>
    </row>
    <row r="50" customFormat="false" ht="15" hidden="false" customHeight="false" outlineLevel="0" collapsed="false">
      <c r="A50" s="13" t="s">
        <v>195</v>
      </c>
      <c r="B50" s="13" t="s">
        <v>117</v>
      </c>
      <c r="C50" s="28" t="n">
        <v>46254</v>
      </c>
      <c r="D50" s="13" t="s">
        <v>69</v>
      </c>
      <c r="E50" s="13" t="s">
        <v>196</v>
      </c>
      <c r="F50" s="28" t="n">
        <v>46259</v>
      </c>
      <c r="G50" s="28" t="n">
        <v>46259</v>
      </c>
      <c r="H50" s="21" t="n">
        <v>109.9</v>
      </c>
      <c r="I50" s="21" t="n">
        <v>50</v>
      </c>
      <c r="J50" s="13" t="s">
        <v>7</v>
      </c>
      <c r="K50" s="13" t="str">
        <f aca="false">IF(A50="","",IFERROR(INDEX(Clientes!$B$2:$B$200,MATCH(B50,Clientes!$A$2:$A$200,0)),"Cliente no registrado"))</f>
        <v>Clínica Veterinaria Albaicín</v>
      </c>
      <c r="L50" s="13" t="str">
        <f aca="false">IF(A50="","",IF(OR(J50="Entregado",J50="Anulado"),"No","Sí"))</f>
        <v>No</v>
      </c>
      <c r="M50" s="13" t="str">
        <f aca="false">IF(A50="","",IF(J50="Entregado","Entregado",IF(J50="Anulado","Anulado",IF(F50="","Dato pendiente",IF(F50&lt;Control!$C$4,"Fuera de plazo","En plazo")))))</f>
        <v>Entregado</v>
      </c>
      <c r="N50" s="13" t="str">
        <f aca="false">IF(M50="Fuera de plazo",Control!$C$4-F50,"")</f>
        <v/>
      </c>
      <c r="O50" s="13" t="str">
        <f aca="false">IF(M50="Fuera de plazo",IF(J50="Listo para recoger","Cliente (no recoge)","Tienda o proveedor"),"")</f>
        <v/>
      </c>
      <c r="P50" s="13" t="n">
        <f aca="false">IF(A50="","",COUNTIF(Incidencias!$B$2:$B$151,A50))</f>
        <v>0</v>
      </c>
      <c r="Q50" s="13" t="n">
        <f aca="false">IF(A50="","",COUNTIFS(Incidencias!$B$2:$B$151,A50,Incidencias!$F$2:$F$151,"Abierta"))</f>
        <v>0</v>
      </c>
      <c r="R50" s="21" t="n">
        <f aca="false">IF(L50="Sí",H50-I50,IF(A50="","",0))</f>
        <v>0</v>
      </c>
      <c r="S50" s="13" t="str">
        <f aca="false">IF(AND(J50="Entregado",F50&lt;&gt;"",G50&lt;&gt;""),IF(G50&lt;=F50,"Sí","No"),"")</f>
        <v>Sí</v>
      </c>
      <c r="T50" s="13" t="str">
        <f aca="false">IF(A50="","",IF(K50="Cliente no registrado","Cliente sin dar de alta",IF(F50="","Falta fecha prevista",IF(AND(J50="Entregado",G50=""),"Entregado sin fecha de entrega",IF(ISNA(MATCH(J50,Inicio!$Z$1:$Z$6,0)),"Estado no reconocido",IF(F50&lt;C50,"Prevista anterior al pedido",IF(AND(G50&lt;&gt;"",G50&lt;C50),"Entrega anterior al pedido","")))))))</f>
        <v/>
      </c>
      <c r="U50" s="13" t="str">
        <f aca="false">IF(L50&lt;&gt;"Sí","",IF(M50="Dato pendiente","Poner fecha prevista y avisar al cliente",IF(M50="En plazo","Seguimiento normal",IF(J50="Listo para recoger","Recordar la recogida al cliente",IF(J50="Esperando pieza","Pedir fecha al proveedor y avisar al cliente",IF(J50="En taller","Revisar con el taller","Confirmar el pedido con el proveedor"))))))</f>
        <v/>
      </c>
      <c r="V50" s="29" t="str">
        <f aca="false">IF(M50="Dato pendiente",1000+ROW()/10000,IF(M50="Fuera de plazo",N50+ROW()/10000,""))</f>
        <v/>
      </c>
      <c r="W50" s="30" t="str">
        <f aca="false">IF(T50="","",ROW())</f>
        <v/>
      </c>
    </row>
    <row r="51" customFormat="false" ht="15" hidden="false" customHeight="false" outlineLevel="0" collapsed="false">
      <c r="A51" s="13" t="s">
        <v>197</v>
      </c>
      <c r="B51" s="13" t="s">
        <v>111</v>
      </c>
      <c r="C51" s="28" t="n">
        <v>46254</v>
      </c>
      <c r="D51" s="13" t="s">
        <v>67</v>
      </c>
      <c r="E51" s="13" t="s">
        <v>148</v>
      </c>
      <c r="F51" s="28" t="n">
        <v>46261</v>
      </c>
      <c r="G51" s="28" t="n">
        <v>46261</v>
      </c>
      <c r="H51" s="21" t="n">
        <v>129</v>
      </c>
      <c r="I51" s="21" t="n">
        <v>0</v>
      </c>
      <c r="J51" s="13" t="s">
        <v>7</v>
      </c>
      <c r="K51" s="13" t="str">
        <f aca="false">IF(A51="","",IFERROR(INDEX(Clientes!$B$2:$B$200,MATCH(B51,Clientes!$A$2:$A$200,0)),"Cliente no registrado"))</f>
        <v>Gestoría Ruiz y Molina</v>
      </c>
      <c r="L51" s="13" t="str">
        <f aca="false">IF(A51="","",IF(OR(J51="Entregado",J51="Anulado"),"No","Sí"))</f>
        <v>No</v>
      </c>
      <c r="M51" s="13" t="str">
        <f aca="false">IF(A51="","",IF(J51="Entregado","Entregado",IF(J51="Anulado","Anulado",IF(F51="","Dato pendiente",IF(F51&lt;Control!$C$4,"Fuera de plazo","En plazo")))))</f>
        <v>Entregado</v>
      </c>
      <c r="N51" s="13" t="str">
        <f aca="false">IF(M51="Fuera de plazo",Control!$C$4-F51,"")</f>
        <v/>
      </c>
      <c r="O51" s="13" t="str">
        <f aca="false">IF(M51="Fuera de plazo",IF(J51="Listo para recoger","Cliente (no recoge)","Tienda o proveedor"),"")</f>
        <v/>
      </c>
      <c r="P51" s="13" t="n">
        <f aca="false">IF(A51="","",COUNTIF(Incidencias!$B$2:$B$151,A51))</f>
        <v>0</v>
      </c>
      <c r="Q51" s="13" t="n">
        <f aca="false">IF(A51="","",COUNTIFS(Incidencias!$B$2:$B$151,A51,Incidencias!$F$2:$F$151,"Abierta"))</f>
        <v>0</v>
      </c>
      <c r="R51" s="21" t="n">
        <f aca="false">IF(L51="Sí",H51-I51,IF(A51="","",0))</f>
        <v>0</v>
      </c>
      <c r="S51" s="13" t="str">
        <f aca="false">IF(AND(J51="Entregado",F51&lt;&gt;"",G51&lt;&gt;""),IF(G51&lt;=F51,"Sí","No"),"")</f>
        <v>Sí</v>
      </c>
      <c r="T51" s="13" t="str">
        <f aca="false">IF(A51="","",IF(K51="Cliente no registrado","Cliente sin dar de alta",IF(F51="","Falta fecha prevista",IF(AND(J51="Entregado",G51=""),"Entregado sin fecha de entrega",IF(ISNA(MATCH(J51,Inicio!$Z$1:$Z$6,0)),"Estado no reconocido",IF(F51&lt;C51,"Prevista anterior al pedido",IF(AND(G51&lt;&gt;"",G51&lt;C51),"Entrega anterior al pedido","")))))))</f>
        <v/>
      </c>
      <c r="U51" s="13" t="str">
        <f aca="false">IF(L51&lt;&gt;"Sí","",IF(M51="Dato pendiente","Poner fecha prevista y avisar al cliente",IF(M51="En plazo","Seguimiento normal",IF(J51="Listo para recoger","Recordar la recogida al cliente",IF(J51="Esperando pieza","Pedir fecha al proveedor y avisar al cliente",IF(J51="En taller","Revisar con el taller","Confirmar el pedido con el proveedor"))))))</f>
        <v/>
      </c>
      <c r="V51" s="29" t="str">
        <f aca="false">IF(M51="Dato pendiente",1000+ROW()/10000,IF(M51="Fuera de plazo",N51+ROW()/10000,""))</f>
        <v/>
      </c>
      <c r="W51" s="30" t="str">
        <f aca="false">IF(T51="","",ROW())</f>
        <v/>
      </c>
    </row>
    <row r="52" customFormat="false" ht="15" hidden="false" customHeight="false" outlineLevel="0" collapsed="false">
      <c r="A52" s="13" t="s">
        <v>198</v>
      </c>
      <c r="B52" s="13" t="s">
        <v>175</v>
      </c>
      <c r="C52" s="28" t="n">
        <v>46255</v>
      </c>
      <c r="D52" s="13" t="s">
        <v>70</v>
      </c>
      <c r="E52" s="13" t="s">
        <v>199</v>
      </c>
      <c r="F52" s="28" t="n">
        <v>46260</v>
      </c>
      <c r="G52" s="28" t="n">
        <v>46260</v>
      </c>
      <c r="H52" s="21" t="n">
        <v>699</v>
      </c>
      <c r="I52" s="21" t="n">
        <v>699</v>
      </c>
      <c r="J52" s="13" t="s">
        <v>7</v>
      </c>
      <c r="K52" s="13" t="str">
        <f aca="false">IF(A52="","",IFERROR(INDEX(Clientes!$B$2:$B$200,MATCH(B52,Clientes!$A$2:$A$200,0)),"Cliente no registrado"))</f>
        <v>Estudio Arco Diseño</v>
      </c>
      <c r="L52" s="13" t="str">
        <f aca="false">IF(A52="","",IF(OR(J52="Entregado",J52="Anulado"),"No","Sí"))</f>
        <v>No</v>
      </c>
      <c r="M52" s="13" t="str">
        <f aca="false">IF(A52="","",IF(J52="Entregado","Entregado",IF(J52="Anulado","Anulado",IF(F52="","Dato pendiente",IF(F52&lt;Control!$C$4,"Fuera de plazo","En plazo")))))</f>
        <v>Entregado</v>
      </c>
      <c r="N52" s="13" t="str">
        <f aca="false">IF(M52="Fuera de plazo",Control!$C$4-F52,"")</f>
        <v/>
      </c>
      <c r="O52" s="13" t="str">
        <f aca="false">IF(M52="Fuera de plazo",IF(J52="Listo para recoger","Cliente (no recoge)","Tienda o proveedor"),"")</f>
        <v/>
      </c>
      <c r="P52" s="13" t="n">
        <f aca="false">IF(A52="","",COUNTIF(Incidencias!$B$2:$B$151,A52))</f>
        <v>0</v>
      </c>
      <c r="Q52" s="13" t="n">
        <f aca="false">IF(A52="","",COUNTIFS(Incidencias!$B$2:$B$151,A52,Incidencias!$F$2:$F$151,"Abierta"))</f>
        <v>0</v>
      </c>
      <c r="R52" s="21" t="n">
        <f aca="false">IF(L52="Sí",H52-I52,IF(A52="","",0))</f>
        <v>0</v>
      </c>
      <c r="S52" s="13" t="str">
        <f aca="false">IF(AND(J52="Entregado",F52&lt;&gt;"",G52&lt;&gt;""),IF(G52&lt;=F52,"Sí","No"),"")</f>
        <v>Sí</v>
      </c>
      <c r="T52" s="13" t="str">
        <f aca="false">IF(A52="","",IF(K52="Cliente no registrado","Cliente sin dar de alta",IF(F52="","Falta fecha prevista",IF(AND(J52="Entregado",G52=""),"Entregado sin fecha de entrega",IF(ISNA(MATCH(J52,Inicio!$Z$1:$Z$6,0)),"Estado no reconocido",IF(F52&lt;C52,"Prevista anterior al pedido",IF(AND(G52&lt;&gt;"",G52&lt;C52),"Entrega anterior al pedido","")))))))</f>
        <v/>
      </c>
      <c r="U52" s="13" t="str">
        <f aca="false">IF(L52&lt;&gt;"Sí","",IF(M52="Dato pendiente","Poner fecha prevista y avisar al cliente",IF(M52="En plazo","Seguimiento normal",IF(J52="Listo para recoger","Recordar la recogida al cliente",IF(J52="Esperando pieza","Pedir fecha al proveedor y avisar al cliente",IF(J52="En taller","Revisar con el taller","Confirmar el pedido con el proveedor"))))))</f>
        <v/>
      </c>
      <c r="V52" s="29" t="str">
        <f aca="false">IF(M52="Dato pendiente",1000+ROW()/10000,IF(M52="Fuera de plazo",N52+ROW()/10000,""))</f>
        <v/>
      </c>
      <c r="W52" s="30" t="str">
        <f aca="false">IF(T52="","",ROW())</f>
        <v/>
      </c>
    </row>
    <row r="53" customFormat="false" ht="15" hidden="false" customHeight="false" outlineLevel="0" collapsed="false">
      <c r="A53" s="13" t="s">
        <v>200</v>
      </c>
      <c r="B53" s="13" t="s">
        <v>137</v>
      </c>
      <c r="C53" s="28" t="n">
        <v>46258</v>
      </c>
      <c r="D53" s="13" t="s">
        <v>69</v>
      </c>
      <c r="E53" s="13" t="s">
        <v>115</v>
      </c>
      <c r="F53" s="28" t="n">
        <v>46267</v>
      </c>
      <c r="G53" s="28" t="n">
        <v>46268</v>
      </c>
      <c r="H53" s="21" t="n">
        <v>139.9</v>
      </c>
      <c r="I53" s="21" t="n">
        <v>50</v>
      </c>
      <c r="J53" s="13" t="s">
        <v>7</v>
      </c>
      <c r="K53" s="13" t="str">
        <f aca="false">IF(A53="","",IFERROR(INDEX(Clientes!$B$2:$B$200,MATCH(B53,Clientes!$A$2:$A$200,0)),"Cliente no registrado"))</f>
        <v>Nerea Fuentes Cano</v>
      </c>
      <c r="L53" s="13" t="str">
        <f aca="false">IF(A53="","",IF(OR(J53="Entregado",J53="Anulado"),"No","Sí"))</f>
        <v>No</v>
      </c>
      <c r="M53" s="13" t="str">
        <f aca="false">IF(A53="","",IF(J53="Entregado","Entregado",IF(J53="Anulado","Anulado",IF(F53="","Dato pendiente",IF(F53&lt;Control!$C$4,"Fuera de plazo","En plazo")))))</f>
        <v>Entregado</v>
      </c>
      <c r="N53" s="13" t="str">
        <f aca="false">IF(M53="Fuera de plazo",Control!$C$4-F53,"")</f>
        <v/>
      </c>
      <c r="O53" s="13" t="str">
        <f aca="false">IF(M53="Fuera de plazo",IF(J53="Listo para recoger","Cliente (no recoge)","Tienda o proveedor"),"")</f>
        <v/>
      </c>
      <c r="P53" s="13" t="n">
        <f aca="false">IF(A53="","",COUNTIF(Incidencias!$B$2:$B$151,A53))</f>
        <v>0</v>
      </c>
      <c r="Q53" s="13" t="n">
        <f aca="false">IF(A53="","",COUNTIFS(Incidencias!$B$2:$B$151,A53,Incidencias!$F$2:$F$151,"Abierta"))</f>
        <v>0</v>
      </c>
      <c r="R53" s="21" t="n">
        <f aca="false">IF(L53="Sí",H53-I53,IF(A53="","",0))</f>
        <v>0</v>
      </c>
      <c r="S53" s="13" t="str">
        <f aca="false">IF(AND(J53="Entregado",F53&lt;&gt;"",G53&lt;&gt;""),IF(G53&lt;=F53,"Sí","No"),"")</f>
        <v>No</v>
      </c>
      <c r="T53" s="13" t="str">
        <f aca="false">IF(A53="","",IF(K53="Cliente no registrado","Cliente sin dar de alta",IF(F53="","Falta fecha prevista",IF(AND(J53="Entregado",G53=""),"Entregado sin fecha de entrega",IF(ISNA(MATCH(J53,Inicio!$Z$1:$Z$6,0)),"Estado no reconocido",IF(F53&lt;C53,"Prevista anterior al pedido",IF(AND(G53&lt;&gt;"",G53&lt;C53),"Entrega anterior al pedido","")))))))</f>
        <v/>
      </c>
      <c r="U53" s="13" t="str">
        <f aca="false">IF(L53&lt;&gt;"Sí","",IF(M53="Dato pendiente","Poner fecha prevista y avisar al cliente",IF(M53="En plazo","Seguimiento normal",IF(J53="Listo para recoger","Recordar la recogida al cliente",IF(J53="Esperando pieza","Pedir fecha al proveedor y avisar al cliente",IF(J53="En taller","Revisar con el taller","Confirmar el pedido con el proveedor"))))))</f>
        <v/>
      </c>
      <c r="V53" s="29" t="str">
        <f aca="false">IF(M53="Dato pendiente",1000+ROW()/10000,IF(M53="Fuera de plazo",N53+ROW()/10000,""))</f>
        <v/>
      </c>
      <c r="W53" s="30" t="str">
        <f aca="false">IF(T53="","",ROW())</f>
        <v/>
      </c>
    </row>
    <row r="54" customFormat="false" ht="15" hidden="false" customHeight="false" outlineLevel="0" collapsed="false">
      <c r="A54" s="13" t="s">
        <v>201</v>
      </c>
      <c r="B54" s="13" t="s">
        <v>111</v>
      </c>
      <c r="C54" s="28" t="n">
        <v>46258</v>
      </c>
      <c r="D54" s="13" t="s">
        <v>71</v>
      </c>
      <c r="E54" s="13" t="s">
        <v>202</v>
      </c>
      <c r="F54" s="28" t="n">
        <v>46263</v>
      </c>
      <c r="G54" s="28" t="n">
        <v>46265</v>
      </c>
      <c r="H54" s="21" t="n">
        <v>289</v>
      </c>
      <c r="I54" s="21" t="n">
        <v>50</v>
      </c>
      <c r="J54" s="13" t="s">
        <v>7</v>
      </c>
      <c r="K54" s="13" t="str">
        <f aca="false">IF(A54="","",IFERROR(INDEX(Clientes!$B$2:$B$200,MATCH(B54,Clientes!$A$2:$A$200,0)),"Cliente no registrado"))</f>
        <v>Gestoría Ruiz y Molina</v>
      </c>
      <c r="L54" s="13" t="str">
        <f aca="false">IF(A54="","",IF(OR(J54="Entregado",J54="Anulado"),"No","Sí"))</f>
        <v>No</v>
      </c>
      <c r="M54" s="13" t="str">
        <f aca="false">IF(A54="","",IF(J54="Entregado","Entregado",IF(J54="Anulado","Anulado",IF(F54="","Dato pendiente",IF(F54&lt;Control!$C$4,"Fuera de plazo","En plazo")))))</f>
        <v>Entregado</v>
      </c>
      <c r="N54" s="13" t="str">
        <f aca="false">IF(M54="Fuera de plazo",Control!$C$4-F54,"")</f>
        <v/>
      </c>
      <c r="O54" s="13" t="str">
        <f aca="false">IF(M54="Fuera de plazo",IF(J54="Listo para recoger","Cliente (no recoge)","Tienda o proveedor"),"")</f>
        <v/>
      </c>
      <c r="P54" s="13" t="n">
        <f aca="false">IF(A54="","",COUNTIF(Incidencias!$B$2:$B$151,A54))</f>
        <v>0</v>
      </c>
      <c r="Q54" s="13" t="n">
        <f aca="false">IF(A54="","",COUNTIFS(Incidencias!$B$2:$B$151,A54,Incidencias!$F$2:$F$151,"Abierta"))</f>
        <v>0</v>
      </c>
      <c r="R54" s="21" t="n">
        <f aca="false">IF(L54="Sí",H54-I54,IF(A54="","",0))</f>
        <v>0</v>
      </c>
      <c r="S54" s="13" t="str">
        <f aca="false">IF(AND(J54="Entregado",F54&lt;&gt;"",G54&lt;&gt;""),IF(G54&lt;=F54,"Sí","No"),"")</f>
        <v>No</v>
      </c>
      <c r="T54" s="13" t="str">
        <f aca="false">IF(A54="","",IF(K54="Cliente no registrado","Cliente sin dar de alta",IF(F54="","Falta fecha prevista",IF(AND(J54="Entregado",G54=""),"Entregado sin fecha de entrega",IF(ISNA(MATCH(J54,Inicio!$Z$1:$Z$6,0)),"Estado no reconocido",IF(F54&lt;C54,"Prevista anterior al pedido",IF(AND(G54&lt;&gt;"",G54&lt;C54),"Entrega anterior al pedido","")))))))</f>
        <v/>
      </c>
      <c r="U54" s="13" t="str">
        <f aca="false">IF(L54&lt;&gt;"Sí","",IF(M54="Dato pendiente","Poner fecha prevista y avisar al cliente",IF(M54="En plazo","Seguimiento normal",IF(J54="Listo para recoger","Recordar la recogida al cliente",IF(J54="Esperando pieza","Pedir fecha al proveedor y avisar al cliente",IF(J54="En taller","Revisar con el taller","Confirmar el pedido con el proveedor"))))))</f>
        <v/>
      </c>
      <c r="V54" s="29" t="str">
        <f aca="false">IF(M54="Dato pendiente",1000+ROW()/10000,IF(M54="Fuera de plazo",N54+ROW()/10000,""))</f>
        <v/>
      </c>
      <c r="W54" s="30" t="str">
        <f aca="false">IF(T54="","",ROW())</f>
        <v/>
      </c>
    </row>
    <row r="55" customFormat="false" ht="15" hidden="false" customHeight="false" outlineLevel="0" collapsed="false">
      <c r="A55" s="13" t="s">
        <v>203</v>
      </c>
      <c r="B55" s="13" t="s">
        <v>164</v>
      </c>
      <c r="C55" s="28" t="n">
        <v>46259</v>
      </c>
      <c r="D55" s="13" t="s">
        <v>72</v>
      </c>
      <c r="E55" s="13" t="s">
        <v>178</v>
      </c>
      <c r="F55" s="28" t="n">
        <v>46265</v>
      </c>
      <c r="G55" s="28" t="n">
        <v>46265</v>
      </c>
      <c r="H55" s="21" t="n">
        <v>129.9</v>
      </c>
      <c r="I55" s="21" t="n">
        <v>129.9</v>
      </c>
      <c r="J55" s="13" t="s">
        <v>7</v>
      </c>
      <c r="K55" s="13" t="str">
        <f aca="false">IF(A55="","",IFERROR(INDEX(Clientes!$B$2:$B$200,MATCH(B55,Clientes!$A$2:$A$200,0)),"Cliente no registrado"))</f>
        <v>Hugo Martín Serrano</v>
      </c>
      <c r="L55" s="13" t="str">
        <f aca="false">IF(A55="","",IF(OR(J55="Entregado",J55="Anulado"),"No","Sí"))</f>
        <v>No</v>
      </c>
      <c r="M55" s="13" t="str">
        <f aca="false">IF(A55="","",IF(J55="Entregado","Entregado",IF(J55="Anulado","Anulado",IF(F55="","Dato pendiente",IF(F55&lt;Control!$C$4,"Fuera de plazo","En plazo")))))</f>
        <v>Entregado</v>
      </c>
      <c r="N55" s="13" t="str">
        <f aca="false">IF(M55="Fuera de plazo",Control!$C$4-F55,"")</f>
        <v/>
      </c>
      <c r="O55" s="13" t="str">
        <f aca="false">IF(M55="Fuera de plazo",IF(J55="Listo para recoger","Cliente (no recoge)","Tienda o proveedor"),"")</f>
        <v/>
      </c>
      <c r="P55" s="13" t="n">
        <f aca="false">IF(A55="","",COUNTIF(Incidencias!$B$2:$B$151,A55))</f>
        <v>0</v>
      </c>
      <c r="Q55" s="13" t="n">
        <f aca="false">IF(A55="","",COUNTIFS(Incidencias!$B$2:$B$151,A55,Incidencias!$F$2:$F$151,"Abierta"))</f>
        <v>0</v>
      </c>
      <c r="R55" s="21" t="n">
        <f aca="false">IF(L55="Sí",H55-I55,IF(A55="","",0))</f>
        <v>0</v>
      </c>
      <c r="S55" s="13" t="str">
        <f aca="false">IF(AND(J55="Entregado",F55&lt;&gt;"",G55&lt;&gt;""),IF(G55&lt;=F55,"Sí","No"),"")</f>
        <v>Sí</v>
      </c>
      <c r="T55" s="13" t="str">
        <f aca="false">IF(A55="","",IF(K55="Cliente no registrado","Cliente sin dar de alta",IF(F55="","Falta fecha prevista",IF(AND(J55="Entregado",G55=""),"Entregado sin fecha de entrega",IF(ISNA(MATCH(J55,Inicio!$Z$1:$Z$6,0)),"Estado no reconocido",IF(F55&lt;C55,"Prevista anterior al pedido",IF(AND(G55&lt;&gt;"",G55&lt;C55),"Entrega anterior al pedido","")))))))</f>
        <v/>
      </c>
      <c r="U55" s="13" t="str">
        <f aca="false">IF(L55&lt;&gt;"Sí","",IF(M55="Dato pendiente","Poner fecha prevista y avisar al cliente",IF(M55="En plazo","Seguimiento normal",IF(J55="Listo para recoger","Recordar la recogida al cliente",IF(J55="Esperando pieza","Pedir fecha al proveedor y avisar al cliente",IF(J55="En taller","Revisar con el taller","Confirmar el pedido con el proveedor"))))))</f>
        <v/>
      </c>
      <c r="V55" s="29" t="str">
        <f aca="false">IF(M55="Dato pendiente",1000+ROW()/10000,IF(M55="Fuera de plazo",N55+ROW()/10000,""))</f>
        <v/>
      </c>
      <c r="W55" s="30" t="str">
        <f aca="false">IF(T55="","",ROW())</f>
        <v/>
      </c>
    </row>
    <row r="56" customFormat="false" ht="15" hidden="false" customHeight="false" outlineLevel="0" collapsed="false">
      <c r="A56" s="13" t="s">
        <v>204</v>
      </c>
      <c r="B56" s="13" t="s">
        <v>150</v>
      </c>
      <c r="C56" s="28" t="n">
        <v>46259</v>
      </c>
      <c r="D56" s="13" t="s">
        <v>70</v>
      </c>
      <c r="E56" s="13" t="s">
        <v>199</v>
      </c>
      <c r="F56" s="28" t="n">
        <v>46262</v>
      </c>
      <c r="G56" s="28" t="n">
        <v>46262</v>
      </c>
      <c r="H56" s="21" t="n">
        <v>699</v>
      </c>
      <c r="I56" s="21" t="n">
        <v>0</v>
      </c>
      <c r="J56" s="13" t="s">
        <v>7</v>
      </c>
      <c r="K56" s="13" t="str">
        <f aca="false">IF(A56="","",IFERROR(INDEX(Clientes!$B$2:$B$200,MATCH(B56,Clientes!$A$2:$A$200,0)),"Cliente no registrado"))</f>
        <v>Academia Nevada Idiomas</v>
      </c>
      <c r="L56" s="13" t="str">
        <f aca="false">IF(A56="","",IF(OR(J56="Entregado",J56="Anulado"),"No","Sí"))</f>
        <v>No</v>
      </c>
      <c r="M56" s="13" t="str">
        <f aca="false">IF(A56="","",IF(J56="Entregado","Entregado",IF(J56="Anulado","Anulado",IF(F56="","Dato pendiente",IF(F56&lt;Control!$C$4,"Fuera de plazo","En plazo")))))</f>
        <v>Entregado</v>
      </c>
      <c r="N56" s="13" t="str">
        <f aca="false">IF(M56="Fuera de plazo",Control!$C$4-F56,"")</f>
        <v/>
      </c>
      <c r="O56" s="13" t="str">
        <f aca="false">IF(M56="Fuera de plazo",IF(J56="Listo para recoger","Cliente (no recoge)","Tienda o proveedor"),"")</f>
        <v/>
      </c>
      <c r="P56" s="13" t="n">
        <f aca="false">IF(A56="","",COUNTIF(Incidencias!$B$2:$B$151,A56))</f>
        <v>0</v>
      </c>
      <c r="Q56" s="13" t="n">
        <f aca="false">IF(A56="","",COUNTIFS(Incidencias!$B$2:$B$151,A56,Incidencias!$F$2:$F$151,"Abierta"))</f>
        <v>0</v>
      </c>
      <c r="R56" s="21" t="n">
        <f aca="false">IF(L56="Sí",H56-I56,IF(A56="","",0))</f>
        <v>0</v>
      </c>
      <c r="S56" s="13" t="str">
        <f aca="false">IF(AND(J56="Entregado",F56&lt;&gt;"",G56&lt;&gt;""),IF(G56&lt;=F56,"Sí","No"),"")</f>
        <v>Sí</v>
      </c>
      <c r="T56" s="13" t="str">
        <f aca="false">IF(A56="","",IF(K56="Cliente no registrado","Cliente sin dar de alta",IF(F56="","Falta fecha prevista",IF(AND(J56="Entregado",G56=""),"Entregado sin fecha de entrega",IF(ISNA(MATCH(J56,Inicio!$Z$1:$Z$6,0)),"Estado no reconocido",IF(F56&lt;C56,"Prevista anterior al pedido",IF(AND(G56&lt;&gt;"",G56&lt;C56),"Entrega anterior al pedido","")))))))</f>
        <v/>
      </c>
      <c r="U56" s="13" t="str">
        <f aca="false">IF(L56&lt;&gt;"Sí","",IF(M56="Dato pendiente","Poner fecha prevista y avisar al cliente",IF(M56="En plazo","Seguimiento normal",IF(J56="Listo para recoger","Recordar la recogida al cliente",IF(J56="Esperando pieza","Pedir fecha al proveedor y avisar al cliente",IF(J56="En taller","Revisar con el taller","Confirmar el pedido con el proveedor"))))))</f>
        <v/>
      </c>
      <c r="V56" s="29" t="str">
        <f aca="false">IF(M56="Dato pendiente",1000+ROW()/10000,IF(M56="Fuera de plazo",N56+ROW()/10000,""))</f>
        <v/>
      </c>
      <c r="W56" s="30" t="str">
        <f aca="false">IF(T56="","",ROW())</f>
        <v/>
      </c>
    </row>
    <row r="57" customFormat="false" ht="15" hidden="false" customHeight="false" outlineLevel="0" collapsed="false">
      <c r="A57" s="13" t="s">
        <v>205</v>
      </c>
      <c r="B57" s="13" t="s">
        <v>137</v>
      </c>
      <c r="C57" s="28" t="n">
        <v>46260</v>
      </c>
      <c r="D57" s="13" t="s">
        <v>69</v>
      </c>
      <c r="E57" s="13" t="s">
        <v>206</v>
      </c>
      <c r="F57" s="28" t="n">
        <v>46265</v>
      </c>
      <c r="G57" s="28" t="n">
        <v>46265</v>
      </c>
      <c r="H57" s="21" t="n">
        <v>169.9</v>
      </c>
      <c r="I57" s="21" t="n">
        <v>84.95</v>
      </c>
      <c r="J57" s="13" t="s">
        <v>7</v>
      </c>
      <c r="K57" s="13" t="str">
        <f aca="false">IF(A57="","",IFERROR(INDEX(Clientes!$B$2:$B$200,MATCH(B57,Clientes!$A$2:$A$200,0)),"Cliente no registrado"))</f>
        <v>Nerea Fuentes Cano</v>
      </c>
      <c r="L57" s="13" t="str">
        <f aca="false">IF(A57="","",IF(OR(J57="Entregado",J57="Anulado"),"No","Sí"))</f>
        <v>No</v>
      </c>
      <c r="M57" s="13" t="str">
        <f aca="false">IF(A57="","",IF(J57="Entregado","Entregado",IF(J57="Anulado","Anulado",IF(F57="","Dato pendiente",IF(F57&lt;Control!$C$4,"Fuera de plazo","En plazo")))))</f>
        <v>Entregado</v>
      </c>
      <c r="N57" s="13" t="str">
        <f aca="false">IF(M57="Fuera de plazo",Control!$C$4-F57,"")</f>
        <v/>
      </c>
      <c r="O57" s="13" t="str">
        <f aca="false">IF(M57="Fuera de plazo",IF(J57="Listo para recoger","Cliente (no recoge)","Tienda o proveedor"),"")</f>
        <v/>
      </c>
      <c r="P57" s="13" t="n">
        <f aca="false">IF(A57="","",COUNTIF(Incidencias!$B$2:$B$151,A57))</f>
        <v>0</v>
      </c>
      <c r="Q57" s="13" t="n">
        <f aca="false">IF(A57="","",COUNTIFS(Incidencias!$B$2:$B$151,A57,Incidencias!$F$2:$F$151,"Abierta"))</f>
        <v>0</v>
      </c>
      <c r="R57" s="21" t="n">
        <f aca="false">IF(L57="Sí",H57-I57,IF(A57="","",0))</f>
        <v>0</v>
      </c>
      <c r="S57" s="13" t="str">
        <f aca="false">IF(AND(J57="Entregado",F57&lt;&gt;"",G57&lt;&gt;""),IF(G57&lt;=F57,"Sí","No"),"")</f>
        <v>Sí</v>
      </c>
      <c r="T57" s="13" t="str">
        <f aca="false">IF(A57="","",IF(K57="Cliente no registrado","Cliente sin dar de alta",IF(F57="","Falta fecha prevista",IF(AND(J57="Entregado",G57=""),"Entregado sin fecha de entrega",IF(ISNA(MATCH(J57,Inicio!$Z$1:$Z$6,0)),"Estado no reconocido",IF(F57&lt;C57,"Prevista anterior al pedido",IF(AND(G57&lt;&gt;"",G57&lt;C57),"Entrega anterior al pedido","")))))))</f>
        <v/>
      </c>
      <c r="U57" s="13" t="str">
        <f aca="false">IF(L57&lt;&gt;"Sí","",IF(M57="Dato pendiente","Poner fecha prevista y avisar al cliente",IF(M57="En plazo","Seguimiento normal",IF(J57="Listo para recoger","Recordar la recogida al cliente",IF(J57="Esperando pieza","Pedir fecha al proveedor y avisar al cliente",IF(J57="En taller","Revisar con el taller","Confirmar el pedido con el proveedor"))))))</f>
        <v/>
      </c>
      <c r="V57" s="29" t="str">
        <f aca="false">IF(M57="Dato pendiente",1000+ROW()/10000,IF(M57="Fuera de plazo",N57+ROW()/10000,""))</f>
        <v/>
      </c>
      <c r="W57" s="30" t="str">
        <f aca="false">IF(T57="","",ROW())</f>
        <v/>
      </c>
    </row>
    <row r="58" customFormat="false" ht="15" hidden="false" customHeight="false" outlineLevel="0" collapsed="false">
      <c r="A58" s="13" t="s">
        <v>207</v>
      </c>
      <c r="B58" s="13" t="s">
        <v>108</v>
      </c>
      <c r="C58" s="28" t="n">
        <v>46261</v>
      </c>
      <c r="D58" s="13" t="s">
        <v>67</v>
      </c>
      <c r="E58" s="13" t="s">
        <v>135</v>
      </c>
      <c r="F58" s="28" t="n">
        <v>46268</v>
      </c>
      <c r="G58" s="28" t="n">
        <v>46268</v>
      </c>
      <c r="H58" s="21" t="n">
        <v>115</v>
      </c>
      <c r="I58" s="21" t="n">
        <v>0</v>
      </c>
      <c r="J58" s="13" t="s">
        <v>7</v>
      </c>
      <c r="K58" s="13" t="str">
        <f aca="false">IF(A58="","",IFERROR(INDEX(Clientes!$B$2:$B$200,MATCH(B58,Clientes!$A$2:$A$200,0)),"Cliente no registrado"))</f>
        <v>Raúl Herrero Campos</v>
      </c>
      <c r="L58" s="13" t="str">
        <f aca="false">IF(A58="","",IF(OR(J58="Entregado",J58="Anulado"),"No","Sí"))</f>
        <v>No</v>
      </c>
      <c r="M58" s="13" t="str">
        <f aca="false">IF(A58="","",IF(J58="Entregado","Entregado",IF(J58="Anulado","Anulado",IF(F58="","Dato pendiente",IF(F58&lt;Control!$C$4,"Fuera de plazo","En plazo")))))</f>
        <v>Entregado</v>
      </c>
      <c r="N58" s="13" t="str">
        <f aca="false">IF(M58="Fuera de plazo",Control!$C$4-F58,"")</f>
        <v/>
      </c>
      <c r="O58" s="13" t="str">
        <f aca="false">IF(M58="Fuera de plazo",IF(J58="Listo para recoger","Cliente (no recoge)","Tienda o proveedor"),"")</f>
        <v/>
      </c>
      <c r="P58" s="13" t="n">
        <f aca="false">IF(A58="","",COUNTIF(Incidencias!$B$2:$B$151,A58))</f>
        <v>0</v>
      </c>
      <c r="Q58" s="13" t="n">
        <f aca="false">IF(A58="","",COUNTIFS(Incidencias!$B$2:$B$151,A58,Incidencias!$F$2:$F$151,"Abierta"))</f>
        <v>0</v>
      </c>
      <c r="R58" s="21" t="n">
        <f aca="false">IF(L58="Sí",H58-I58,IF(A58="","",0))</f>
        <v>0</v>
      </c>
      <c r="S58" s="13" t="str">
        <f aca="false">IF(AND(J58="Entregado",F58&lt;&gt;"",G58&lt;&gt;""),IF(G58&lt;=F58,"Sí","No"),"")</f>
        <v>Sí</v>
      </c>
      <c r="T58" s="13" t="str">
        <f aca="false">IF(A58="","",IF(K58="Cliente no registrado","Cliente sin dar de alta",IF(F58="","Falta fecha prevista",IF(AND(J58="Entregado",G58=""),"Entregado sin fecha de entrega",IF(ISNA(MATCH(J58,Inicio!$Z$1:$Z$6,0)),"Estado no reconocido",IF(F58&lt;C58,"Prevista anterior al pedido",IF(AND(G58&lt;&gt;"",G58&lt;C58),"Entrega anterior al pedido","")))))))</f>
        <v/>
      </c>
      <c r="U58" s="13" t="str">
        <f aca="false">IF(L58&lt;&gt;"Sí","",IF(M58="Dato pendiente","Poner fecha prevista y avisar al cliente",IF(M58="En plazo","Seguimiento normal",IF(J58="Listo para recoger","Recordar la recogida al cliente",IF(J58="Esperando pieza","Pedir fecha al proveedor y avisar al cliente",IF(J58="En taller","Revisar con el taller","Confirmar el pedido con el proveedor"))))))</f>
        <v/>
      </c>
      <c r="V58" s="29" t="str">
        <f aca="false">IF(M58="Dato pendiente",1000+ROW()/10000,IF(M58="Fuera de plazo",N58+ROW()/10000,""))</f>
        <v/>
      </c>
      <c r="W58" s="30" t="str">
        <f aca="false">IF(T58="","",ROW())</f>
        <v/>
      </c>
    </row>
    <row r="59" customFormat="false" ht="15" hidden="false" customHeight="false" outlineLevel="0" collapsed="false">
      <c r="A59" s="13" t="s">
        <v>208</v>
      </c>
      <c r="B59" s="13" t="s">
        <v>105</v>
      </c>
      <c r="C59" s="28" t="n">
        <v>46263</v>
      </c>
      <c r="D59" s="13" t="s">
        <v>68</v>
      </c>
      <c r="E59" s="13" t="s">
        <v>112</v>
      </c>
      <c r="F59" s="28" t="n">
        <v>46272</v>
      </c>
      <c r="G59" s="28" t="n">
        <v>46275</v>
      </c>
      <c r="H59" s="21" t="n">
        <v>724</v>
      </c>
      <c r="I59" s="21" t="n">
        <v>200</v>
      </c>
      <c r="J59" s="13" t="s">
        <v>7</v>
      </c>
      <c r="K59" s="13" t="str">
        <f aca="false">IF(A59="","",IFERROR(INDEX(Clientes!$B$2:$B$200,MATCH(B59,Clientes!$A$2:$A$200,0)),"Cliente no registrado"))</f>
        <v>Marina Torres Blanco</v>
      </c>
      <c r="L59" s="13" t="str">
        <f aca="false">IF(A59="","",IF(OR(J59="Entregado",J59="Anulado"),"No","Sí"))</f>
        <v>No</v>
      </c>
      <c r="M59" s="13" t="str">
        <f aca="false">IF(A59="","",IF(J59="Entregado","Entregado",IF(J59="Anulado","Anulado",IF(F59="","Dato pendiente",IF(F59&lt;Control!$C$4,"Fuera de plazo","En plazo")))))</f>
        <v>Entregado</v>
      </c>
      <c r="N59" s="13" t="str">
        <f aca="false">IF(M59="Fuera de plazo",Control!$C$4-F59,"")</f>
        <v/>
      </c>
      <c r="O59" s="13" t="str">
        <f aca="false">IF(M59="Fuera de plazo",IF(J59="Listo para recoger","Cliente (no recoge)","Tienda o proveedor"),"")</f>
        <v/>
      </c>
      <c r="P59" s="13" t="n">
        <f aca="false">IF(A59="","",COUNTIF(Incidencias!$B$2:$B$151,A59))</f>
        <v>0</v>
      </c>
      <c r="Q59" s="13" t="n">
        <f aca="false">IF(A59="","",COUNTIFS(Incidencias!$B$2:$B$151,A59,Incidencias!$F$2:$F$151,"Abierta"))</f>
        <v>0</v>
      </c>
      <c r="R59" s="21" t="n">
        <f aca="false">IF(L59="Sí",H59-I59,IF(A59="","",0))</f>
        <v>0</v>
      </c>
      <c r="S59" s="13" t="str">
        <f aca="false">IF(AND(J59="Entregado",F59&lt;&gt;"",G59&lt;&gt;""),IF(G59&lt;=F59,"Sí","No"),"")</f>
        <v>No</v>
      </c>
      <c r="T59" s="13" t="str">
        <f aca="false">IF(A59="","",IF(K59="Cliente no registrado","Cliente sin dar de alta",IF(F59="","Falta fecha prevista",IF(AND(J59="Entregado",G59=""),"Entregado sin fecha de entrega",IF(ISNA(MATCH(J59,Inicio!$Z$1:$Z$6,0)),"Estado no reconocido",IF(F59&lt;C59,"Prevista anterior al pedido",IF(AND(G59&lt;&gt;"",G59&lt;C59),"Entrega anterior al pedido","")))))))</f>
        <v/>
      </c>
      <c r="U59" s="13" t="str">
        <f aca="false">IF(L59&lt;&gt;"Sí","",IF(M59="Dato pendiente","Poner fecha prevista y avisar al cliente",IF(M59="En plazo","Seguimiento normal",IF(J59="Listo para recoger","Recordar la recogida al cliente",IF(J59="Esperando pieza","Pedir fecha al proveedor y avisar al cliente",IF(J59="En taller","Revisar con el taller","Confirmar el pedido con el proveedor"))))))</f>
        <v/>
      </c>
      <c r="V59" s="29" t="str">
        <f aca="false">IF(M59="Dato pendiente",1000+ROW()/10000,IF(M59="Fuera de plazo",N59+ROW()/10000,""))</f>
        <v/>
      </c>
      <c r="W59" s="30" t="str">
        <f aca="false">IF(T59="","",ROW())</f>
        <v/>
      </c>
    </row>
    <row r="60" customFormat="false" ht="15" hidden="false" customHeight="false" outlineLevel="0" collapsed="false">
      <c r="A60" s="13" t="s">
        <v>209</v>
      </c>
      <c r="B60" s="13" t="s">
        <v>119</v>
      </c>
      <c r="C60" s="28" t="n">
        <v>46263</v>
      </c>
      <c r="D60" s="13" t="s">
        <v>71</v>
      </c>
      <c r="E60" s="13" t="s">
        <v>155</v>
      </c>
      <c r="F60" s="28" t="n">
        <v>46268</v>
      </c>
      <c r="G60" s="28" t="n">
        <v>46277</v>
      </c>
      <c r="H60" s="21" t="n">
        <v>179.9</v>
      </c>
      <c r="I60" s="21" t="n">
        <v>179.9</v>
      </c>
      <c r="J60" s="13" t="s">
        <v>7</v>
      </c>
      <c r="K60" s="13" t="str">
        <f aca="false">IF(A60="","",IFERROR(INDEX(Clientes!$B$2:$B$200,MATCH(B60,Clientes!$A$2:$A$200,0)),"Cliente no registrado"))</f>
        <v>Carmen López Jiménez</v>
      </c>
      <c r="L60" s="13" t="str">
        <f aca="false">IF(A60="","",IF(OR(J60="Entregado",J60="Anulado"),"No","Sí"))</f>
        <v>No</v>
      </c>
      <c r="M60" s="13" t="str">
        <f aca="false">IF(A60="","",IF(J60="Entregado","Entregado",IF(J60="Anulado","Anulado",IF(F60="","Dato pendiente",IF(F60&lt;Control!$C$4,"Fuera de plazo","En plazo")))))</f>
        <v>Entregado</v>
      </c>
      <c r="N60" s="13" t="str">
        <f aca="false">IF(M60="Fuera de plazo",Control!$C$4-F60,"")</f>
        <v/>
      </c>
      <c r="O60" s="13" t="str">
        <f aca="false">IF(M60="Fuera de plazo",IF(J60="Listo para recoger","Cliente (no recoge)","Tienda o proveedor"),"")</f>
        <v/>
      </c>
      <c r="P60" s="13" t="n">
        <f aca="false">IF(A60="","",COUNTIF(Incidencias!$B$2:$B$151,A60))</f>
        <v>0</v>
      </c>
      <c r="Q60" s="13" t="n">
        <f aca="false">IF(A60="","",COUNTIFS(Incidencias!$B$2:$B$151,A60,Incidencias!$F$2:$F$151,"Abierta"))</f>
        <v>0</v>
      </c>
      <c r="R60" s="21" t="n">
        <f aca="false">IF(L60="Sí",H60-I60,IF(A60="","",0))</f>
        <v>0</v>
      </c>
      <c r="S60" s="13" t="str">
        <f aca="false">IF(AND(J60="Entregado",F60&lt;&gt;"",G60&lt;&gt;""),IF(G60&lt;=F60,"Sí","No"),"")</f>
        <v>No</v>
      </c>
      <c r="T60" s="13" t="str">
        <f aca="false">IF(A60="","",IF(K60="Cliente no registrado","Cliente sin dar de alta",IF(F60="","Falta fecha prevista",IF(AND(J60="Entregado",G60=""),"Entregado sin fecha de entrega",IF(ISNA(MATCH(J60,Inicio!$Z$1:$Z$6,0)),"Estado no reconocido",IF(F60&lt;C60,"Prevista anterior al pedido",IF(AND(G60&lt;&gt;"",G60&lt;C60),"Entrega anterior al pedido","")))))))</f>
        <v/>
      </c>
      <c r="U60" s="13" t="str">
        <f aca="false">IF(L60&lt;&gt;"Sí","",IF(M60="Dato pendiente","Poner fecha prevista y avisar al cliente",IF(M60="En plazo","Seguimiento normal",IF(J60="Listo para recoger","Recordar la recogida al cliente",IF(J60="Esperando pieza","Pedir fecha al proveedor y avisar al cliente",IF(J60="En taller","Revisar con el taller","Confirmar el pedido con el proveedor"))))))</f>
        <v/>
      </c>
      <c r="V60" s="29" t="str">
        <f aca="false">IF(M60="Dato pendiente",1000+ROW()/10000,IF(M60="Fuera de plazo",N60+ROW()/10000,""))</f>
        <v/>
      </c>
      <c r="W60" s="30" t="str">
        <f aca="false">IF(T60="","",ROW())</f>
        <v/>
      </c>
    </row>
    <row r="61" customFormat="false" ht="15" hidden="false" customHeight="false" outlineLevel="0" collapsed="false">
      <c r="A61" s="13" t="s">
        <v>210</v>
      </c>
      <c r="B61" s="13" t="s">
        <v>150</v>
      </c>
      <c r="C61" s="28" t="n">
        <v>46266</v>
      </c>
      <c r="D61" s="13" t="s">
        <v>69</v>
      </c>
      <c r="E61" s="13" t="s">
        <v>211</v>
      </c>
      <c r="F61" s="28" t="n">
        <v>46274</v>
      </c>
      <c r="G61" s="28" t="n">
        <v>46289</v>
      </c>
      <c r="H61" s="21" t="n">
        <v>94.9</v>
      </c>
      <c r="I61" s="21" t="n">
        <v>50</v>
      </c>
      <c r="J61" s="13" t="s">
        <v>7</v>
      </c>
      <c r="K61" s="13" t="str">
        <f aca="false">IF(A61="","",IFERROR(INDEX(Clientes!$B$2:$B$200,MATCH(B61,Clientes!$A$2:$A$200,0)),"Cliente no registrado"))</f>
        <v>Academia Nevada Idiomas</v>
      </c>
      <c r="L61" s="13" t="str">
        <f aca="false">IF(A61="","",IF(OR(J61="Entregado",J61="Anulado"),"No","Sí"))</f>
        <v>No</v>
      </c>
      <c r="M61" s="13" t="str">
        <f aca="false">IF(A61="","",IF(J61="Entregado","Entregado",IF(J61="Anulado","Anulado",IF(F61="","Dato pendiente",IF(F61&lt;Control!$C$4,"Fuera de plazo","En plazo")))))</f>
        <v>Entregado</v>
      </c>
      <c r="N61" s="13" t="str">
        <f aca="false">IF(M61="Fuera de plazo",Control!$C$4-F61,"")</f>
        <v/>
      </c>
      <c r="O61" s="13" t="str">
        <f aca="false">IF(M61="Fuera de plazo",IF(J61="Listo para recoger","Cliente (no recoge)","Tienda o proveedor"),"")</f>
        <v/>
      </c>
      <c r="P61" s="13" t="n">
        <f aca="false">IF(A61="","",COUNTIF(Incidencias!$B$2:$B$151,A61))</f>
        <v>0</v>
      </c>
      <c r="Q61" s="13" t="n">
        <f aca="false">IF(A61="","",COUNTIFS(Incidencias!$B$2:$B$151,A61,Incidencias!$F$2:$F$151,"Abierta"))</f>
        <v>0</v>
      </c>
      <c r="R61" s="21" t="n">
        <f aca="false">IF(L61="Sí",H61-I61,IF(A61="","",0))</f>
        <v>0</v>
      </c>
      <c r="S61" s="13" t="str">
        <f aca="false">IF(AND(J61="Entregado",F61&lt;&gt;"",G61&lt;&gt;""),IF(G61&lt;=F61,"Sí","No"),"")</f>
        <v>No</v>
      </c>
      <c r="T61" s="13" t="str">
        <f aca="false">IF(A61="","",IF(K61="Cliente no registrado","Cliente sin dar de alta",IF(F61="","Falta fecha prevista",IF(AND(J61="Entregado",G61=""),"Entregado sin fecha de entrega",IF(ISNA(MATCH(J61,Inicio!$Z$1:$Z$6,0)),"Estado no reconocido",IF(F61&lt;C61,"Prevista anterior al pedido",IF(AND(G61&lt;&gt;"",G61&lt;C61),"Entrega anterior al pedido","")))))))</f>
        <v/>
      </c>
      <c r="U61" s="13" t="str">
        <f aca="false">IF(L61&lt;&gt;"Sí","",IF(M61="Dato pendiente","Poner fecha prevista y avisar al cliente",IF(M61="En plazo","Seguimiento normal",IF(J61="Listo para recoger","Recordar la recogida al cliente",IF(J61="Esperando pieza","Pedir fecha al proveedor y avisar al cliente",IF(J61="En taller","Revisar con el taller","Confirmar el pedido con el proveedor"))))))</f>
        <v/>
      </c>
      <c r="V61" s="29" t="str">
        <f aca="false">IF(M61="Dato pendiente",1000+ROW()/10000,IF(M61="Fuera de plazo",N61+ROW()/10000,""))</f>
        <v/>
      </c>
      <c r="W61" s="30" t="str">
        <f aca="false">IF(T61="","",ROW())</f>
        <v/>
      </c>
    </row>
    <row r="62" customFormat="false" ht="15" hidden="false" customHeight="false" outlineLevel="0" collapsed="false">
      <c r="A62" s="13" t="s">
        <v>212</v>
      </c>
      <c r="B62" s="13" t="s">
        <v>108</v>
      </c>
      <c r="C62" s="28" t="n">
        <v>46266</v>
      </c>
      <c r="D62" s="13" t="s">
        <v>69</v>
      </c>
      <c r="E62" s="13" t="s">
        <v>123</v>
      </c>
      <c r="F62" s="28" t="n">
        <v>46272</v>
      </c>
      <c r="G62" s="28" t="n">
        <v>46272</v>
      </c>
      <c r="H62" s="21" t="n">
        <v>329.9</v>
      </c>
      <c r="I62" s="21" t="n">
        <v>164.95</v>
      </c>
      <c r="J62" s="13" t="s">
        <v>7</v>
      </c>
      <c r="K62" s="13" t="str">
        <f aca="false">IF(A62="","",IFERROR(INDEX(Clientes!$B$2:$B$200,MATCH(B62,Clientes!$A$2:$A$200,0)),"Cliente no registrado"))</f>
        <v>Raúl Herrero Campos</v>
      </c>
      <c r="L62" s="13" t="str">
        <f aca="false">IF(A62="","",IF(OR(J62="Entregado",J62="Anulado"),"No","Sí"))</f>
        <v>No</v>
      </c>
      <c r="M62" s="13" t="str">
        <f aca="false">IF(A62="","",IF(J62="Entregado","Entregado",IF(J62="Anulado","Anulado",IF(F62="","Dato pendiente",IF(F62&lt;Control!$C$4,"Fuera de plazo","En plazo")))))</f>
        <v>Entregado</v>
      </c>
      <c r="N62" s="13" t="str">
        <f aca="false">IF(M62="Fuera de plazo",Control!$C$4-F62,"")</f>
        <v/>
      </c>
      <c r="O62" s="13" t="str">
        <f aca="false">IF(M62="Fuera de plazo",IF(J62="Listo para recoger","Cliente (no recoge)","Tienda o proveedor"),"")</f>
        <v/>
      </c>
      <c r="P62" s="13" t="n">
        <f aca="false">IF(A62="","",COUNTIF(Incidencias!$B$2:$B$151,A62))</f>
        <v>0</v>
      </c>
      <c r="Q62" s="13" t="n">
        <f aca="false">IF(A62="","",COUNTIFS(Incidencias!$B$2:$B$151,A62,Incidencias!$F$2:$F$151,"Abierta"))</f>
        <v>0</v>
      </c>
      <c r="R62" s="21" t="n">
        <f aca="false">IF(L62="Sí",H62-I62,IF(A62="","",0))</f>
        <v>0</v>
      </c>
      <c r="S62" s="13" t="str">
        <f aca="false">IF(AND(J62="Entregado",F62&lt;&gt;"",G62&lt;&gt;""),IF(G62&lt;=F62,"Sí","No"),"")</f>
        <v>Sí</v>
      </c>
      <c r="T62" s="13" t="str">
        <f aca="false">IF(A62="","",IF(K62="Cliente no registrado","Cliente sin dar de alta",IF(F62="","Falta fecha prevista",IF(AND(J62="Entregado",G62=""),"Entregado sin fecha de entrega",IF(ISNA(MATCH(J62,Inicio!$Z$1:$Z$6,0)),"Estado no reconocido",IF(F62&lt;C62,"Prevista anterior al pedido",IF(AND(G62&lt;&gt;"",G62&lt;C62),"Entrega anterior al pedido","")))))))</f>
        <v/>
      </c>
      <c r="U62" s="13" t="str">
        <f aca="false">IF(L62&lt;&gt;"Sí","",IF(M62="Dato pendiente","Poner fecha prevista y avisar al cliente",IF(M62="En plazo","Seguimiento normal",IF(J62="Listo para recoger","Recordar la recogida al cliente",IF(J62="Esperando pieza","Pedir fecha al proveedor y avisar al cliente",IF(J62="En taller","Revisar con el taller","Confirmar el pedido con el proveedor"))))))</f>
        <v/>
      </c>
      <c r="V62" s="29" t="str">
        <f aca="false">IF(M62="Dato pendiente",1000+ROW()/10000,IF(M62="Fuera de plazo",N62+ROW()/10000,""))</f>
        <v/>
      </c>
      <c r="W62" s="30" t="str">
        <f aca="false">IF(T62="","",ROW())</f>
        <v/>
      </c>
    </row>
    <row r="63" customFormat="false" ht="15" hidden="false" customHeight="false" outlineLevel="0" collapsed="false">
      <c r="A63" s="13" t="s">
        <v>213</v>
      </c>
      <c r="B63" s="13" t="s">
        <v>131</v>
      </c>
      <c r="C63" s="28" t="n">
        <v>46267</v>
      </c>
      <c r="D63" s="13" t="s">
        <v>68</v>
      </c>
      <c r="E63" s="13" t="s">
        <v>138</v>
      </c>
      <c r="F63" s="28" t="n">
        <v>46275</v>
      </c>
      <c r="G63" s="28"/>
      <c r="H63" s="21" t="n">
        <v>1489</v>
      </c>
      <c r="I63" s="21" t="n">
        <v>600</v>
      </c>
      <c r="J63" s="13" t="s">
        <v>7</v>
      </c>
      <c r="K63" s="13" t="str">
        <f aca="false">IF(A63="","",IFERROR(INDEX(Clientes!$B$2:$B$200,MATCH(B63,Clientes!$A$2:$A$200,0)),"Cliente no registrado"))</f>
        <v>Sergio Domínguez Rey</v>
      </c>
      <c r="L63" s="13" t="str">
        <f aca="false">IF(A63="","",IF(OR(J63="Entregado",J63="Anulado"),"No","Sí"))</f>
        <v>No</v>
      </c>
      <c r="M63" s="13" t="str">
        <f aca="false">IF(A63="","",IF(J63="Entregado","Entregado",IF(J63="Anulado","Anulado",IF(F63="","Dato pendiente",IF(F63&lt;Control!$C$4,"Fuera de plazo","En plazo")))))</f>
        <v>Entregado</v>
      </c>
      <c r="N63" s="13" t="str">
        <f aca="false">IF(M63="Fuera de plazo",Control!$C$4-F63,"")</f>
        <v/>
      </c>
      <c r="O63" s="13" t="str">
        <f aca="false">IF(M63="Fuera de plazo",IF(J63="Listo para recoger","Cliente (no recoge)","Tienda o proveedor"),"")</f>
        <v/>
      </c>
      <c r="P63" s="13" t="n">
        <f aca="false">IF(A63="","",COUNTIF(Incidencias!$B$2:$B$151,A63))</f>
        <v>0</v>
      </c>
      <c r="Q63" s="13" t="n">
        <f aca="false">IF(A63="","",COUNTIFS(Incidencias!$B$2:$B$151,A63,Incidencias!$F$2:$F$151,"Abierta"))</f>
        <v>0</v>
      </c>
      <c r="R63" s="21" t="n">
        <f aca="false">IF(L63="Sí",H63-I63,IF(A63="","",0))</f>
        <v>0</v>
      </c>
      <c r="S63" s="13" t="str">
        <f aca="false">IF(AND(J63="Entregado",F63&lt;&gt;"",G63&lt;&gt;""),IF(G63&lt;=F63,"Sí","No"),"")</f>
        <v/>
      </c>
      <c r="T63" s="13" t="str">
        <f aca="false">IF(A63="","",IF(K63="Cliente no registrado","Cliente sin dar de alta",IF(F63="","Falta fecha prevista",IF(AND(J63="Entregado",G63=""),"Entregado sin fecha de entrega",IF(ISNA(MATCH(J63,Inicio!$Z$1:$Z$6,0)),"Estado no reconocido",IF(F63&lt;C63,"Prevista anterior al pedido",IF(AND(G63&lt;&gt;"",G63&lt;C63),"Entrega anterior al pedido","")))))))</f>
        <v>Entregado sin fecha de entrega</v>
      </c>
      <c r="U63" s="13" t="str">
        <f aca="false">IF(L63&lt;&gt;"Sí","",IF(M63="Dato pendiente","Poner fecha prevista y avisar al cliente",IF(M63="En plazo","Seguimiento normal",IF(J63="Listo para recoger","Recordar la recogida al cliente",IF(J63="Esperando pieza","Pedir fecha al proveedor y avisar al cliente",IF(J63="En taller","Revisar con el taller","Confirmar el pedido con el proveedor"))))))</f>
        <v/>
      </c>
      <c r="V63" s="29" t="str">
        <f aca="false">IF(M63="Dato pendiente",1000+ROW()/10000,IF(M63="Fuera de plazo",N63+ROW()/10000,""))</f>
        <v/>
      </c>
      <c r="W63" s="30" t="n">
        <f aca="false">IF(T63="","",ROW())</f>
        <v>63</v>
      </c>
    </row>
    <row r="64" customFormat="false" ht="15" hidden="false" customHeight="false" outlineLevel="0" collapsed="false">
      <c r="A64" s="13" t="s">
        <v>214</v>
      </c>
      <c r="B64" s="13" t="s">
        <v>164</v>
      </c>
      <c r="C64" s="28" t="n">
        <v>46267</v>
      </c>
      <c r="D64" s="13" t="s">
        <v>67</v>
      </c>
      <c r="E64" s="13" t="s">
        <v>148</v>
      </c>
      <c r="F64" s="28" t="n">
        <v>46274</v>
      </c>
      <c r="G64" s="28" t="n">
        <v>46274</v>
      </c>
      <c r="H64" s="21" t="n">
        <v>129</v>
      </c>
      <c r="I64" s="21" t="n">
        <v>0</v>
      </c>
      <c r="J64" s="13" t="s">
        <v>7</v>
      </c>
      <c r="K64" s="13" t="str">
        <f aca="false">IF(A64="","",IFERROR(INDEX(Clientes!$B$2:$B$200,MATCH(B64,Clientes!$A$2:$A$200,0)),"Cliente no registrado"))</f>
        <v>Hugo Martín Serrano</v>
      </c>
      <c r="L64" s="13" t="str">
        <f aca="false">IF(A64="","",IF(OR(J64="Entregado",J64="Anulado"),"No","Sí"))</f>
        <v>No</v>
      </c>
      <c r="M64" s="13" t="str">
        <f aca="false">IF(A64="","",IF(J64="Entregado","Entregado",IF(J64="Anulado","Anulado",IF(F64="","Dato pendiente",IF(F64&lt;Control!$C$4,"Fuera de plazo","En plazo")))))</f>
        <v>Entregado</v>
      </c>
      <c r="N64" s="13" t="str">
        <f aca="false">IF(M64="Fuera de plazo",Control!$C$4-F64,"")</f>
        <v/>
      </c>
      <c r="O64" s="13" t="str">
        <f aca="false">IF(M64="Fuera de plazo",IF(J64="Listo para recoger","Cliente (no recoge)","Tienda o proveedor"),"")</f>
        <v/>
      </c>
      <c r="P64" s="13" t="n">
        <f aca="false">IF(A64="","",COUNTIF(Incidencias!$B$2:$B$151,A64))</f>
        <v>0</v>
      </c>
      <c r="Q64" s="13" t="n">
        <f aca="false">IF(A64="","",COUNTIFS(Incidencias!$B$2:$B$151,A64,Incidencias!$F$2:$F$151,"Abierta"))</f>
        <v>0</v>
      </c>
      <c r="R64" s="21" t="n">
        <f aca="false">IF(L64="Sí",H64-I64,IF(A64="","",0))</f>
        <v>0</v>
      </c>
      <c r="S64" s="13" t="str">
        <f aca="false">IF(AND(J64="Entregado",F64&lt;&gt;"",G64&lt;&gt;""),IF(G64&lt;=F64,"Sí","No"),"")</f>
        <v>Sí</v>
      </c>
      <c r="T64" s="13" t="str">
        <f aca="false">IF(A64="","",IF(K64="Cliente no registrado","Cliente sin dar de alta",IF(F64="","Falta fecha prevista",IF(AND(J64="Entregado",G64=""),"Entregado sin fecha de entrega",IF(ISNA(MATCH(J64,Inicio!$Z$1:$Z$6,0)),"Estado no reconocido",IF(F64&lt;C64,"Prevista anterior al pedido",IF(AND(G64&lt;&gt;"",G64&lt;C64),"Entrega anterior al pedido","")))))))</f>
        <v/>
      </c>
      <c r="U64" s="13" t="str">
        <f aca="false">IF(L64&lt;&gt;"Sí","",IF(M64="Dato pendiente","Poner fecha prevista y avisar al cliente",IF(M64="En plazo","Seguimiento normal",IF(J64="Listo para recoger","Recordar la recogida al cliente",IF(J64="Esperando pieza","Pedir fecha al proveedor y avisar al cliente",IF(J64="En taller","Revisar con el taller","Confirmar el pedido con el proveedor"))))))</f>
        <v/>
      </c>
      <c r="V64" s="29" t="str">
        <f aca="false">IF(M64="Dato pendiente",1000+ROW()/10000,IF(M64="Fuera de plazo",N64+ROW()/10000,""))</f>
        <v/>
      </c>
      <c r="W64" s="30" t="str">
        <f aca="false">IF(T64="","",ROW())</f>
        <v/>
      </c>
    </row>
    <row r="65" customFormat="false" ht="15" hidden="false" customHeight="false" outlineLevel="0" collapsed="false">
      <c r="A65" s="13" t="s">
        <v>215</v>
      </c>
      <c r="B65" s="13" t="s">
        <v>137</v>
      </c>
      <c r="C65" s="28" t="n">
        <v>46268</v>
      </c>
      <c r="D65" s="13" t="s">
        <v>69</v>
      </c>
      <c r="E65" s="13" t="s">
        <v>109</v>
      </c>
      <c r="F65" s="28" t="n">
        <v>46273</v>
      </c>
      <c r="G65" s="28" t="n">
        <v>46287</v>
      </c>
      <c r="H65" s="21" t="n">
        <v>249</v>
      </c>
      <c r="I65" s="21" t="n">
        <v>249</v>
      </c>
      <c r="J65" s="13" t="s">
        <v>7</v>
      </c>
      <c r="K65" s="13" t="str">
        <f aca="false">IF(A65="","",IFERROR(INDEX(Clientes!$B$2:$B$200,MATCH(B65,Clientes!$A$2:$A$200,0)),"Cliente no registrado"))</f>
        <v>Nerea Fuentes Cano</v>
      </c>
      <c r="L65" s="13" t="str">
        <f aca="false">IF(A65="","",IF(OR(J65="Entregado",J65="Anulado"),"No","Sí"))</f>
        <v>No</v>
      </c>
      <c r="M65" s="13" t="str">
        <f aca="false">IF(A65="","",IF(J65="Entregado","Entregado",IF(J65="Anulado","Anulado",IF(F65="","Dato pendiente",IF(F65&lt;Control!$C$4,"Fuera de plazo","En plazo")))))</f>
        <v>Entregado</v>
      </c>
      <c r="N65" s="13" t="str">
        <f aca="false">IF(M65="Fuera de plazo",Control!$C$4-F65,"")</f>
        <v/>
      </c>
      <c r="O65" s="13" t="str">
        <f aca="false">IF(M65="Fuera de plazo",IF(J65="Listo para recoger","Cliente (no recoge)","Tienda o proveedor"),"")</f>
        <v/>
      </c>
      <c r="P65" s="13" t="n">
        <f aca="false">IF(A65="","",COUNTIF(Incidencias!$B$2:$B$151,A65))</f>
        <v>0</v>
      </c>
      <c r="Q65" s="13" t="n">
        <f aca="false">IF(A65="","",COUNTIFS(Incidencias!$B$2:$B$151,A65,Incidencias!$F$2:$F$151,"Abierta"))</f>
        <v>0</v>
      </c>
      <c r="R65" s="21" t="n">
        <f aca="false">IF(L65="Sí",H65-I65,IF(A65="","",0))</f>
        <v>0</v>
      </c>
      <c r="S65" s="13" t="str">
        <f aca="false">IF(AND(J65="Entregado",F65&lt;&gt;"",G65&lt;&gt;""),IF(G65&lt;=F65,"Sí","No"),"")</f>
        <v>No</v>
      </c>
      <c r="T65" s="13" t="str">
        <f aca="false">IF(A65="","",IF(K65="Cliente no registrado","Cliente sin dar de alta",IF(F65="","Falta fecha prevista",IF(AND(J65="Entregado",G65=""),"Entregado sin fecha de entrega",IF(ISNA(MATCH(J65,Inicio!$Z$1:$Z$6,0)),"Estado no reconocido",IF(F65&lt;C65,"Prevista anterior al pedido",IF(AND(G65&lt;&gt;"",G65&lt;C65),"Entrega anterior al pedido","")))))))</f>
        <v/>
      </c>
      <c r="U65" s="13" t="str">
        <f aca="false">IF(L65&lt;&gt;"Sí","",IF(M65="Dato pendiente","Poner fecha prevista y avisar al cliente",IF(M65="En plazo","Seguimiento normal",IF(J65="Listo para recoger","Recordar la recogida al cliente",IF(J65="Esperando pieza","Pedir fecha al proveedor y avisar al cliente",IF(J65="En taller","Revisar con el taller","Confirmar el pedido con el proveedor"))))))</f>
        <v/>
      </c>
      <c r="V65" s="29" t="str">
        <f aca="false">IF(M65="Dato pendiente",1000+ROW()/10000,IF(M65="Fuera de plazo",N65+ROW()/10000,""))</f>
        <v/>
      </c>
      <c r="W65" s="30" t="str">
        <f aca="false">IF(T65="","",ROW())</f>
        <v/>
      </c>
    </row>
    <row r="66" customFormat="false" ht="15" hidden="false" customHeight="false" outlineLevel="0" collapsed="false">
      <c r="A66" s="13" t="s">
        <v>216</v>
      </c>
      <c r="B66" s="13" t="s">
        <v>119</v>
      </c>
      <c r="C66" s="28" t="n">
        <v>46268</v>
      </c>
      <c r="D66" s="13" t="s">
        <v>67</v>
      </c>
      <c r="E66" s="13" t="s">
        <v>184</v>
      </c>
      <c r="F66" s="28" t="n">
        <v>46275</v>
      </c>
      <c r="G66" s="28" t="n">
        <v>46276</v>
      </c>
      <c r="H66" s="21" t="n">
        <v>59.9</v>
      </c>
      <c r="I66" s="21" t="n">
        <v>0</v>
      </c>
      <c r="J66" s="13" t="s">
        <v>7</v>
      </c>
      <c r="K66" s="13" t="str">
        <f aca="false">IF(A66="","",IFERROR(INDEX(Clientes!$B$2:$B$200,MATCH(B66,Clientes!$A$2:$A$200,0)),"Cliente no registrado"))</f>
        <v>Carmen López Jiménez</v>
      </c>
      <c r="L66" s="13" t="str">
        <f aca="false">IF(A66="","",IF(OR(J66="Entregado",J66="Anulado"),"No","Sí"))</f>
        <v>No</v>
      </c>
      <c r="M66" s="13" t="str">
        <f aca="false">IF(A66="","",IF(J66="Entregado","Entregado",IF(J66="Anulado","Anulado",IF(F66="","Dato pendiente",IF(F66&lt;Control!$C$4,"Fuera de plazo","En plazo")))))</f>
        <v>Entregado</v>
      </c>
      <c r="N66" s="13" t="str">
        <f aca="false">IF(M66="Fuera de plazo",Control!$C$4-F66,"")</f>
        <v/>
      </c>
      <c r="O66" s="13" t="str">
        <f aca="false">IF(M66="Fuera de plazo",IF(J66="Listo para recoger","Cliente (no recoge)","Tienda o proveedor"),"")</f>
        <v/>
      </c>
      <c r="P66" s="13" t="n">
        <f aca="false">IF(A66="","",COUNTIF(Incidencias!$B$2:$B$151,A66))</f>
        <v>0</v>
      </c>
      <c r="Q66" s="13" t="n">
        <f aca="false">IF(A66="","",COUNTIFS(Incidencias!$B$2:$B$151,A66,Incidencias!$F$2:$F$151,"Abierta"))</f>
        <v>0</v>
      </c>
      <c r="R66" s="21" t="n">
        <f aca="false">IF(L66="Sí",H66-I66,IF(A66="","",0))</f>
        <v>0</v>
      </c>
      <c r="S66" s="13" t="str">
        <f aca="false">IF(AND(J66="Entregado",F66&lt;&gt;"",G66&lt;&gt;""),IF(G66&lt;=F66,"Sí","No"),"")</f>
        <v>No</v>
      </c>
      <c r="T66" s="13" t="str">
        <f aca="false">IF(A66="","",IF(K66="Cliente no registrado","Cliente sin dar de alta",IF(F66="","Falta fecha prevista",IF(AND(J66="Entregado",G66=""),"Entregado sin fecha de entrega",IF(ISNA(MATCH(J66,Inicio!$Z$1:$Z$6,0)),"Estado no reconocido",IF(F66&lt;C66,"Prevista anterior al pedido",IF(AND(G66&lt;&gt;"",G66&lt;C66),"Entrega anterior al pedido","")))))))</f>
        <v/>
      </c>
      <c r="U66" s="13" t="str">
        <f aca="false">IF(L66&lt;&gt;"Sí","",IF(M66="Dato pendiente","Poner fecha prevista y avisar al cliente",IF(M66="En plazo","Seguimiento normal",IF(J66="Listo para recoger","Recordar la recogida al cliente",IF(J66="Esperando pieza","Pedir fecha al proveedor y avisar al cliente",IF(J66="En taller","Revisar con el taller","Confirmar el pedido con el proveedor"))))))</f>
        <v/>
      </c>
      <c r="V66" s="29" t="str">
        <f aca="false">IF(M66="Dato pendiente",1000+ROW()/10000,IF(M66="Fuera de plazo",N66+ROW()/10000,""))</f>
        <v/>
      </c>
      <c r="W66" s="30" t="str">
        <f aca="false">IF(T66="","",ROW())</f>
        <v/>
      </c>
    </row>
    <row r="67" customFormat="false" ht="15" hidden="false" customHeight="false" outlineLevel="0" collapsed="false">
      <c r="A67" s="13" t="s">
        <v>217</v>
      </c>
      <c r="B67" s="13" t="s">
        <v>218</v>
      </c>
      <c r="C67" s="28" t="n">
        <v>46269</v>
      </c>
      <c r="D67" s="13" t="s">
        <v>72</v>
      </c>
      <c r="E67" s="13" t="s">
        <v>129</v>
      </c>
      <c r="F67" s="28" t="n">
        <v>46274</v>
      </c>
      <c r="G67" s="28" t="n">
        <v>46274</v>
      </c>
      <c r="H67" s="21" t="n">
        <v>258</v>
      </c>
      <c r="I67" s="21" t="n">
        <v>0</v>
      </c>
      <c r="J67" s="13" t="s">
        <v>7</v>
      </c>
      <c r="K67" s="13" t="str">
        <f aca="false">IF(A67="","",IFERROR(INDEX(Clientes!$B$2:$B$200,MATCH(B67,Clientes!$A$2:$A$200,0)),"Cliente no registrado"))</f>
        <v>Cliente no registrado</v>
      </c>
      <c r="L67" s="13" t="str">
        <f aca="false">IF(A67="","",IF(OR(J67="Entregado",J67="Anulado"),"No","Sí"))</f>
        <v>No</v>
      </c>
      <c r="M67" s="13" t="str">
        <f aca="false">IF(A67="","",IF(J67="Entregado","Entregado",IF(J67="Anulado","Anulado",IF(F67="","Dato pendiente",IF(F67&lt;Control!$C$4,"Fuera de plazo","En plazo")))))</f>
        <v>Entregado</v>
      </c>
      <c r="N67" s="13" t="str">
        <f aca="false">IF(M67="Fuera de plazo",Control!$C$4-F67,"")</f>
        <v/>
      </c>
      <c r="O67" s="13" t="str">
        <f aca="false">IF(M67="Fuera de plazo",IF(J67="Listo para recoger","Cliente (no recoge)","Tienda o proveedor"),"")</f>
        <v/>
      </c>
      <c r="P67" s="13" t="n">
        <f aca="false">IF(A67="","",COUNTIF(Incidencias!$B$2:$B$151,A67))</f>
        <v>0</v>
      </c>
      <c r="Q67" s="13" t="n">
        <f aca="false">IF(A67="","",COUNTIFS(Incidencias!$B$2:$B$151,A67,Incidencias!$F$2:$F$151,"Abierta"))</f>
        <v>0</v>
      </c>
      <c r="R67" s="21" t="n">
        <f aca="false">IF(L67="Sí",H67-I67,IF(A67="","",0))</f>
        <v>0</v>
      </c>
      <c r="S67" s="13" t="str">
        <f aca="false">IF(AND(J67="Entregado",F67&lt;&gt;"",G67&lt;&gt;""),IF(G67&lt;=F67,"Sí","No"),"")</f>
        <v>Sí</v>
      </c>
      <c r="T67" s="13" t="str">
        <f aca="false">IF(A67="","",IF(K67="Cliente no registrado","Cliente sin dar de alta",IF(F67="","Falta fecha prevista",IF(AND(J67="Entregado",G67=""),"Entregado sin fecha de entrega",IF(ISNA(MATCH(J67,Inicio!$Z$1:$Z$6,0)),"Estado no reconocido",IF(F67&lt;C67,"Prevista anterior al pedido",IF(AND(G67&lt;&gt;"",G67&lt;C67),"Entrega anterior al pedido","")))))))</f>
        <v>Cliente sin dar de alta</v>
      </c>
      <c r="U67" s="13" t="str">
        <f aca="false">IF(L67&lt;&gt;"Sí","",IF(M67="Dato pendiente","Poner fecha prevista y avisar al cliente",IF(M67="En plazo","Seguimiento normal",IF(J67="Listo para recoger","Recordar la recogida al cliente",IF(J67="Esperando pieza","Pedir fecha al proveedor y avisar al cliente",IF(J67="En taller","Revisar con el taller","Confirmar el pedido con el proveedor"))))))</f>
        <v/>
      </c>
      <c r="V67" s="29" t="str">
        <f aca="false">IF(M67="Dato pendiente",1000+ROW()/10000,IF(M67="Fuera de plazo",N67+ROW()/10000,""))</f>
        <v/>
      </c>
      <c r="W67" s="30" t="n">
        <f aca="false">IF(T67="","",ROW())</f>
        <v>67</v>
      </c>
    </row>
    <row r="68" customFormat="false" ht="15" hidden="false" customHeight="false" outlineLevel="0" collapsed="false">
      <c r="A68" s="13" t="s">
        <v>219</v>
      </c>
      <c r="B68" s="13" t="s">
        <v>111</v>
      </c>
      <c r="C68" s="28" t="n">
        <v>46269</v>
      </c>
      <c r="D68" s="13" t="s">
        <v>68</v>
      </c>
      <c r="E68" s="13" t="s">
        <v>171</v>
      </c>
      <c r="F68" s="28" t="n">
        <v>46274</v>
      </c>
      <c r="G68" s="28" t="n">
        <v>46282</v>
      </c>
      <c r="H68" s="21" t="n">
        <v>1184</v>
      </c>
      <c r="I68" s="21" t="n">
        <v>600</v>
      </c>
      <c r="J68" s="13" t="s">
        <v>7</v>
      </c>
      <c r="K68" s="13" t="str">
        <f aca="false">IF(A68="","",IFERROR(INDEX(Clientes!$B$2:$B$200,MATCH(B68,Clientes!$A$2:$A$200,0)),"Cliente no registrado"))</f>
        <v>Gestoría Ruiz y Molina</v>
      </c>
      <c r="L68" s="13" t="str">
        <f aca="false">IF(A68="","",IF(OR(J68="Entregado",J68="Anulado"),"No","Sí"))</f>
        <v>No</v>
      </c>
      <c r="M68" s="13" t="str">
        <f aca="false">IF(A68="","",IF(J68="Entregado","Entregado",IF(J68="Anulado","Anulado",IF(F68="","Dato pendiente",IF(F68&lt;Control!$C$4,"Fuera de plazo","En plazo")))))</f>
        <v>Entregado</v>
      </c>
      <c r="N68" s="13" t="str">
        <f aca="false">IF(M68="Fuera de plazo",Control!$C$4-F68,"")</f>
        <v/>
      </c>
      <c r="O68" s="13" t="str">
        <f aca="false">IF(M68="Fuera de plazo",IF(J68="Listo para recoger","Cliente (no recoge)","Tienda o proveedor"),"")</f>
        <v/>
      </c>
      <c r="P68" s="13" t="n">
        <f aca="false">IF(A68="","",COUNTIF(Incidencias!$B$2:$B$151,A68))</f>
        <v>0</v>
      </c>
      <c r="Q68" s="13" t="n">
        <f aca="false">IF(A68="","",COUNTIFS(Incidencias!$B$2:$B$151,A68,Incidencias!$F$2:$F$151,"Abierta"))</f>
        <v>0</v>
      </c>
      <c r="R68" s="21" t="n">
        <f aca="false">IF(L68="Sí",H68-I68,IF(A68="","",0))</f>
        <v>0</v>
      </c>
      <c r="S68" s="13" t="str">
        <f aca="false">IF(AND(J68="Entregado",F68&lt;&gt;"",G68&lt;&gt;""),IF(G68&lt;=F68,"Sí","No"),"")</f>
        <v>No</v>
      </c>
      <c r="T68" s="13" t="str">
        <f aca="false">IF(A68="","",IF(K68="Cliente no registrado","Cliente sin dar de alta",IF(F68="","Falta fecha prevista",IF(AND(J68="Entregado",G68=""),"Entregado sin fecha de entrega",IF(ISNA(MATCH(J68,Inicio!$Z$1:$Z$6,0)),"Estado no reconocido",IF(F68&lt;C68,"Prevista anterior al pedido",IF(AND(G68&lt;&gt;"",G68&lt;C68),"Entrega anterior al pedido","")))))))</f>
        <v/>
      </c>
      <c r="U68" s="13" t="str">
        <f aca="false">IF(L68&lt;&gt;"Sí","",IF(M68="Dato pendiente","Poner fecha prevista y avisar al cliente",IF(M68="En plazo","Seguimiento normal",IF(J68="Listo para recoger","Recordar la recogida al cliente",IF(J68="Esperando pieza","Pedir fecha al proveedor y avisar al cliente",IF(J68="En taller","Revisar con el taller","Confirmar el pedido con el proveedor"))))))</f>
        <v/>
      </c>
      <c r="V68" s="29" t="str">
        <f aca="false">IF(M68="Dato pendiente",1000+ROW()/10000,IF(M68="Fuera de plazo",N68+ROW()/10000,""))</f>
        <v/>
      </c>
      <c r="W68" s="30" t="str">
        <f aca="false">IF(T68="","",ROW())</f>
        <v/>
      </c>
    </row>
    <row r="69" customFormat="false" ht="15" hidden="false" customHeight="false" outlineLevel="0" collapsed="false">
      <c r="A69" s="13" t="s">
        <v>220</v>
      </c>
      <c r="B69" s="13" t="s">
        <v>175</v>
      </c>
      <c r="C69" s="28" t="n">
        <v>46269</v>
      </c>
      <c r="D69" s="13" t="s">
        <v>70</v>
      </c>
      <c r="E69" s="13" t="s">
        <v>151</v>
      </c>
      <c r="F69" s="28" t="n">
        <v>46273</v>
      </c>
      <c r="G69" s="28" t="n">
        <v>46273</v>
      </c>
      <c r="H69" s="21" t="n">
        <v>999</v>
      </c>
      <c r="I69" s="21" t="n">
        <v>100</v>
      </c>
      <c r="J69" s="13" t="s">
        <v>7</v>
      </c>
      <c r="K69" s="13" t="str">
        <f aca="false">IF(A69="","",IFERROR(INDEX(Clientes!$B$2:$B$200,MATCH(B69,Clientes!$A$2:$A$200,0)),"Cliente no registrado"))</f>
        <v>Estudio Arco Diseño</v>
      </c>
      <c r="L69" s="13" t="str">
        <f aca="false">IF(A69="","",IF(OR(J69="Entregado",J69="Anulado"),"No","Sí"))</f>
        <v>No</v>
      </c>
      <c r="M69" s="13" t="str">
        <f aca="false">IF(A69="","",IF(J69="Entregado","Entregado",IF(J69="Anulado","Anulado",IF(F69="","Dato pendiente",IF(F69&lt;Control!$C$4,"Fuera de plazo","En plazo")))))</f>
        <v>Entregado</v>
      </c>
      <c r="N69" s="13" t="str">
        <f aca="false">IF(M69="Fuera de plazo",Control!$C$4-F69,"")</f>
        <v/>
      </c>
      <c r="O69" s="13" t="str">
        <f aca="false">IF(M69="Fuera de plazo",IF(J69="Listo para recoger","Cliente (no recoge)","Tienda o proveedor"),"")</f>
        <v/>
      </c>
      <c r="P69" s="13" t="n">
        <f aca="false">IF(A69="","",COUNTIF(Incidencias!$B$2:$B$151,A69))</f>
        <v>0</v>
      </c>
      <c r="Q69" s="13" t="n">
        <f aca="false">IF(A69="","",COUNTIFS(Incidencias!$B$2:$B$151,A69,Incidencias!$F$2:$F$151,"Abierta"))</f>
        <v>0</v>
      </c>
      <c r="R69" s="21" t="n">
        <f aca="false">IF(L69="Sí",H69-I69,IF(A69="","",0))</f>
        <v>0</v>
      </c>
      <c r="S69" s="13" t="str">
        <f aca="false">IF(AND(J69="Entregado",F69&lt;&gt;"",G69&lt;&gt;""),IF(G69&lt;=F69,"Sí","No"),"")</f>
        <v>Sí</v>
      </c>
      <c r="T69" s="13" t="str">
        <f aca="false">IF(A69="","",IF(K69="Cliente no registrado","Cliente sin dar de alta",IF(F69="","Falta fecha prevista",IF(AND(J69="Entregado",G69=""),"Entregado sin fecha de entrega",IF(ISNA(MATCH(J69,Inicio!$Z$1:$Z$6,0)),"Estado no reconocido",IF(F69&lt;C69,"Prevista anterior al pedido",IF(AND(G69&lt;&gt;"",G69&lt;C69),"Entrega anterior al pedido","")))))))</f>
        <v/>
      </c>
      <c r="U69" s="13" t="str">
        <f aca="false">IF(L69&lt;&gt;"Sí","",IF(M69="Dato pendiente","Poner fecha prevista y avisar al cliente",IF(M69="En plazo","Seguimiento normal",IF(J69="Listo para recoger","Recordar la recogida al cliente",IF(J69="Esperando pieza","Pedir fecha al proveedor y avisar al cliente",IF(J69="En taller","Revisar con el taller","Confirmar el pedido con el proveedor"))))))</f>
        <v/>
      </c>
      <c r="V69" s="29" t="str">
        <f aca="false">IF(M69="Dato pendiente",1000+ROW()/10000,IF(M69="Fuera de plazo",N69+ROW()/10000,""))</f>
        <v/>
      </c>
      <c r="W69" s="30" t="str">
        <f aca="false">IF(T69="","",ROW())</f>
        <v/>
      </c>
    </row>
    <row r="70" customFormat="false" ht="15" hidden="false" customHeight="false" outlineLevel="0" collapsed="false">
      <c r="A70" s="13" t="s">
        <v>221</v>
      </c>
      <c r="B70" s="13" t="s">
        <v>175</v>
      </c>
      <c r="C70" s="28" t="n">
        <v>46269</v>
      </c>
      <c r="D70" s="13" t="s">
        <v>67</v>
      </c>
      <c r="E70" s="13" t="s">
        <v>120</v>
      </c>
      <c r="F70" s="28" t="n">
        <v>46273</v>
      </c>
      <c r="G70" s="28" t="n">
        <v>46276</v>
      </c>
      <c r="H70" s="21" t="n">
        <v>95</v>
      </c>
      <c r="I70" s="21" t="n">
        <v>0</v>
      </c>
      <c r="J70" s="13" t="s">
        <v>7</v>
      </c>
      <c r="K70" s="13" t="str">
        <f aca="false">IF(A70="","",IFERROR(INDEX(Clientes!$B$2:$B$200,MATCH(B70,Clientes!$A$2:$A$200,0)),"Cliente no registrado"))</f>
        <v>Estudio Arco Diseño</v>
      </c>
      <c r="L70" s="13" t="str">
        <f aca="false">IF(A70="","",IF(OR(J70="Entregado",J70="Anulado"),"No","Sí"))</f>
        <v>No</v>
      </c>
      <c r="M70" s="13" t="str">
        <f aca="false">IF(A70="","",IF(J70="Entregado","Entregado",IF(J70="Anulado","Anulado",IF(F70="","Dato pendiente",IF(F70&lt;Control!$C$4,"Fuera de plazo","En plazo")))))</f>
        <v>Entregado</v>
      </c>
      <c r="N70" s="13" t="str">
        <f aca="false">IF(M70="Fuera de plazo",Control!$C$4-F70,"")</f>
        <v/>
      </c>
      <c r="O70" s="13" t="str">
        <f aca="false">IF(M70="Fuera de plazo",IF(J70="Listo para recoger","Cliente (no recoge)","Tienda o proveedor"),"")</f>
        <v/>
      </c>
      <c r="P70" s="13" t="n">
        <f aca="false">IF(A70="","",COUNTIF(Incidencias!$B$2:$B$151,A70))</f>
        <v>0</v>
      </c>
      <c r="Q70" s="13" t="n">
        <f aca="false">IF(A70="","",COUNTIFS(Incidencias!$B$2:$B$151,A70,Incidencias!$F$2:$F$151,"Abierta"))</f>
        <v>0</v>
      </c>
      <c r="R70" s="21" t="n">
        <f aca="false">IF(L70="Sí",H70-I70,IF(A70="","",0))</f>
        <v>0</v>
      </c>
      <c r="S70" s="13" t="str">
        <f aca="false">IF(AND(J70="Entregado",F70&lt;&gt;"",G70&lt;&gt;""),IF(G70&lt;=F70,"Sí","No"),"")</f>
        <v>No</v>
      </c>
      <c r="T70" s="13" t="str">
        <f aca="false">IF(A70="","",IF(K70="Cliente no registrado","Cliente sin dar de alta",IF(F70="","Falta fecha prevista",IF(AND(J70="Entregado",G70=""),"Entregado sin fecha de entrega",IF(ISNA(MATCH(J70,Inicio!$Z$1:$Z$6,0)),"Estado no reconocido",IF(F70&lt;C70,"Prevista anterior al pedido",IF(AND(G70&lt;&gt;"",G70&lt;C70),"Entrega anterior al pedido","")))))))</f>
        <v/>
      </c>
      <c r="U70" s="13" t="str">
        <f aca="false">IF(L70&lt;&gt;"Sí","",IF(M70="Dato pendiente","Poner fecha prevista y avisar al cliente",IF(M70="En plazo","Seguimiento normal",IF(J70="Listo para recoger","Recordar la recogida al cliente",IF(J70="Esperando pieza","Pedir fecha al proveedor y avisar al cliente",IF(J70="En taller","Revisar con el taller","Confirmar el pedido con el proveedor"))))))</f>
        <v/>
      </c>
      <c r="V70" s="29" t="str">
        <f aca="false">IF(M70="Dato pendiente",1000+ROW()/10000,IF(M70="Fuera de plazo",N70+ROW()/10000,""))</f>
        <v/>
      </c>
      <c r="W70" s="30" t="str">
        <f aca="false">IF(T70="","",ROW())</f>
        <v/>
      </c>
    </row>
    <row r="71" customFormat="false" ht="15" hidden="false" customHeight="false" outlineLevel="0" collapsed="false">
      <c r="A71" s="13" t="s">
        <v>222</v>
      </c>
      <c r="B71" s="13" t="s">
        <v>117</v>
      </c>
      <c r="C71" s="28" t="n">
        <v>46270</v>
      </c>
      <c r="D71" s="13" t="s">
        <v>67</v>
      </c>
      <c r="E71" s="13" t="s">
        <v>135</v>
      </c>
      <c r="F71" s="28" t="n">
        <v>46276</v>
      </c>
      <c r="G71" s="28" t="n">
        <v>46276</v>
      </c>
      <c r="H71" s="21" t="n">
        <v>115</v>
      </c>
      <c r="I71" s="21" t="n">
        <v>0</v>
      </c>
      <c r="J71" s="13" t="s">
        <v>7</v>
      </c>
      <c r="K71" s="13" t="str">
        <f aca="false">IF(A71="","",IFERROR(INDEX(Clientes!$B$2:$B$200,MATCH(B71,Clientes!$A$2:$A$200,0)),"Cliente no registrado"))</f>
        <v>Clínica Veterinaria Albaicín</v>
      </c>
      <c r="L71" s="13" t="str">
        <f aca="false">IF(A71="","",IF(OR(J71="Entregado",J71="Anulado"),"No","Sí"))</f>
        <v>No</v>
      </c>
      <c r="M71" s="13" t="str">
        <f aca="false">IF(A71="","",IF(J71="Entregado","Entregado",IF(J71="Anulado","Anulado",IF(F71="","Dato pendiente",IF(F71&lt;Control!$C$4,"Fuera de plazo","En plazo")))))</f>
        <v>Entregado</v>
      </c>
      <c r="N71" s="13" t="str">
        <f aca="false">IF(M71="Fuera de plazo",Control!$C$4-F71,"")</f>
        <v/>
      </c>
      <c r="O71" s="13" t="str">
        <f aca="false">IF(M71="Fuera de plazo",IF(J71="Listo para recoger","Cliente (no recoge)","Tienda o proveedor"),"")</f>
        <v/>
      </c>
      <c r="P71" s="13" t="n">
        <f aca="false">IF(A71="","",COUNTIF(Incidencias!$B$2:$B$151,A71))</f>
        <v>0</v>
      </c>
      <c r="Q71" s="13" t="n">
        <f aca="false">IF(A71="","",COUNTIFS(Incidencias!$B$2:$B$151,A71,Incidencias!$F$2:$F$151,"Abierta"))</f>
        <v>0</v>
      </c>
      <c r="R71" s="21" t="n">
        <f aca="false">IF(L71="Sí",H71-I71,IF(A71="","",0))</f>
        <v>0</v>
      </c>
      <c r="S71" s="13" t="str">
        <f aca="false">IF(AND(J71="Entregado",F71&lt;&gt;"",G71&lt;&gt;""),IF(G71&lt;=F71,"Sí","No"),"")</f>
        <v>Sí</v>
      </c>
      <c r="T71" s="13" t="str">
        <f aca="false">IF(A71="","",IF(K71="Cliente no registrado","Cliente sin dar de alta",IF(F71="","Falta fecha prevista",IF(AND(J71="Entregado",G71=""),"Entregado sin fecha de entrega",IF(ISNA(MATCH(J71,Inicio!$Z$1:$Z$6,0)),"Estado no reconocido",IF(F71&lt;C71,"Prevista anterior al pedido",IF(AND(G71&lt;&gt;"",G71&lt;C71),"Entrega anterior al pedido","")))))))</f>
        <v/>
      </c>
      <c r="U71" s="13" t="str">
        <f aca="false">IF(L71&lt;&gt;"Sí","",IF(M71="Dato pendiente","Poner fecha prevista y avisar al cliente",IF(M71="En plazo","Seguimiento normal",IF(J71="Listo para recoger","Recordar la recogida al cliente",IF(J71="Esperando pieza","Pedir fecha al proveedor y avisar al cliente",IF(J71="En taller","Revisar con el taller","Confirmar el pedido con el proveedor"))))))</f>
        <v/>
      </c>
      <c r="V71" s="29" t="str">
        <f aca="false">IF(M71="Dato pendiente",1000+ROW()/10000,IF(M71="Fuera de plazo",N71+ROW()/10000,""))</f>
        <v/>
      </c>
      <c r="W71" s="30" t="str">
        <f aca="false">IF(T71="","",ROW())</f>
        <v/>
      </c>
    </row>
    <row r="72" customFormat="false" ht="15" hidden="false" customHeight="false" outlineLevel="0" collapsed="false">
      <c r="A72" s="13" t="s">
        <v>223</v>
      </c>
      <c r="B72" s="13" t="s">
        <v>137</v>
      </c>
      <c r="C72" s="28" t="n">
        <v>46270</v>
      </c>
      <c r="D72" s="13" t="s">
        <v>71</v>
      </c>
      <c r="E72" s="13" t="s">
        <v>125</v>
      </c>
      <c r="F72" s="28" t="n">
        <v>46279</v>
      </c>
      <c r="G72" s="28" t="n">
        <v>46279</v>
      </c>
      <c r="H72" s="21" t="n">
        <v>219</v>
      </c>
      <c r="I72" s="21" t="n">
        <v>50</v>
      </c>
      <c r="J72" s="13" t="s">
        <v>7</v>
      </c>
      <c r="K72" s="13" t="str">
        <f aca="false">IF(A72="","",IFERROR(INDEX(Clientes!$B$2:$B$200,MATCH(B72,Clientes!$A$2:$A$200,0)),"Cliente no registrado"))</f>
        <v>Nerea Fuentes Cano</v>
      </c>
      <c r="L72" s="13" t="str">
        <f aca="false">IF(A72="","",IF(OR(J72="Entregado",J72="Anulado"),"No","Sí"))</f>
        <v>No</v>
      </c>
      <c r="M72" s="13" t="str">
        <f aca="false">IF(A72="","",IF(J72="Entregado","Entregado",IF(J72="Anulado","Anulado",IF(F72="","Dato pendiente",IF(F72&lt;Control!$C$4,"Fuera de plazo","En plazo")))))</f>
        <v>Entregado</v>
      </c>
      <c r="N72" s="13" t="str">
        <f aca="false">IF(M72="Fuera de plazo",Control!$C$4-F72,"")</f>
        <v/>
      </c>
      <c r="O72" s="13" t="str">
        <f aca="false">IF(M72="Fuera de plazo",IF(J72="Listo para recoger","Cliente (no recoge)","Tienda o proveedor"),"")</f>
        <v/>
      </c>
      <c r="P72" s="13" t="n">
        <f aca="false">IF(A72="","",COUNTIF(Incidencias!$B$2:$B$151,A72))</f>
        <v>0</v>
      </c>
      <c r="Q72" s="13" t="n">
        <f aca="false">IF(A72="","",COUNTIFS(Incidencias!$B$2:$B$151,A72,Incidencias!$F$2:$F$151,"Abierta"))</f>
        <v>0</v>
      </c>
      <c r="R72" s="21" t="n">
        <f aca="false">IF(L72="Sí",H72-I72,IF(A72="","",0))</f>
        <v>0</v>
      </c>
      <c r="S72" s="13" t="str">
        <f aca="false">IF(AND(J72="Entregado",F72&lt;&gt;"",G72&lt;&gt;""),IF(G72&lt;=F72,"Sí","No"),"")</f>
        <v>Sí</v>
      </c>
      <c r="T72" s="13" t="str">
        <f aca="false">IF(A72="","",IF(K72="Cliente no registrado","Cliente sin dar de alta",IF(F72="","Falta fecha prevista",IF(AND(J72="Entregado",G72=""),"Entregado sin fecha de entrega",IF(ISNA(MATCH(J72,Inicio!$Z$1:$Z$6,0)),"Estado no reconocido",IF(F72&lt;C72,"Prevista anterior al pedido",IF(AND(G72&lt;&gt;"",G72&lt;C72),"Entrega anterior al pedido","")))))))</f>
        <v/>
      </c>
      <c r="U72" s="13" t="str">
        <f aca="false">IF(L72&lt;&gt;"Sí","",IF(M72="Dato pendiente","Poner fecha prevista y avisar al cliente",IF(M72="En plazo","Seguimiento normal",IF(J72="Listo para recoger","Recordar la recogida al cliente",IF(J72="Esperando pieza","Pedir fecha al proveedor y avisar al cliente",IF(J72="En taller","Revisar con el taller","Confirmar el pedido con el proveedor"))))))</f>
        <v/>
      </c>
      <c r="V72" s="29" t="str">
        <f aca="false">IF(M72="Dato pendiente",1000+ROW()/10000,IF(M72="Fuera de plazo",N72+ROW()/10000,""))</f>
        <v/>
      </c>
      <c r="W72" s="30" t="str">
        <f aca="false">IF(T72="","",ROW())</f>
        <v/>
      </c>
    </row>
    <row r="73" customFormat="false" ht="15" hidden="false" customHeight="false" outlineLevel="0" collapsed="false">
      <c r="A73" s="13" t="s">
        <v>224</v>
      </c>
      <c r="B73" s="13" t="s">
        <v>117</v>
      </c>
      <c r="C73" s="28" t="n">
        <v>46273</v>
      </c>
      <c r="D73" s="13" t="s">
        <v>71</v>
      </c>
      <c r="E73" s="13" t="s">
        <v>225</v>
      </c>
      <c r="F73" s="28" t="n">
        <v>46282</v>
      </c>
      <c r="G73" s="28" t="n">
        <v>46283</v>
      </c>
      <c r="H73" s="21" t="n">
        <v>329</v>
      </c>
      <c r="I73" s="21" t="n">
        <v>50</v>
      </c>
      <c r="J73" s="13" t="s">
        <v>7</v>
      </c>
      <c r="K73" s="13" t="str">
        <f aca="false">IF(A73="","",IFERROR(INDEX(Clientes!$B$2:$B$200,MATCH(B73,Clientes!$A$2:$A$200,0)),"Cliente no registrado"))</f>
        <v>Clínica Veterinaria Albaicín</v>
      </c>
      <c r="L73" s="13" t="str">
        <f aca="false">IF(A73="","",IF(OR(J73="Entregado",J73="Anulado"),"No","Sí"))</f>
        <v>No</v>
      </c>
      <c r="M73" s="13" t="str">
        <f aca="false">IF(A73="","",IF(J73="Entregado","Entregado",IF(J73="Anulado","Anulado",IF(F73="","Dato pendiente",IF(F73&lt;Control!$C$4,"Fuera de plazo","En plazo")))))</f>
        <v>Entregado</v>
      </c>
      <c r="N73" s="13" t="str">
        <f aca="false">IF(M73="Fuera de plazo",Control!$C$4-F73,"")</f>
        <v/>
      </c>
      <c r="O73" s="13" t="str">
        <f aca="false">IF(M73="Fuera de plazo",IF(J73="Listo para recoger","Cliente (no recoge)","Tienda o proveedor"),"")</f>
        <v/>
      </c>
      <c r="P73" s="13" t="n">
        <f aca="false">IF(A73="","",COUNTIF(Incidencias!$B$2:$B$151,A73))</f>
        <v>0</v>
      </c>
      <c r="Q73" s="13" t="n">
        <f aca="false">IF(A73="","",COUNTIFS(Incidencias!$B$2:$B$151,A73,Incidencias!$F$2:$F$151,"Abierta"))</f>
        <v>0</v>
      </c>
      <c r="R73" s="21" t="n">
        <f aca="false">IF(L73="Sí",H73-I73,IF(A73="","",0))</f>
        <v>0</v>
      </c>
      <c r="S73" s="13" t="str">
        <f aca="false">IF(AND(J73="Entregado",F73&lt;&gt;"",G73&lt;&gt;""),IF(G73&lt;=F73,"Sí","No"),"")</f>
        <v>No</v>
      </c>
      <c r="T73" s="13" t="str">
        <f aca="false">IF(A73="","",IF(K73="Cliente no registrado","Cliente sin dar de alta",IF(F73="","Falta fecha prevista",IF(AND(J73="Entregado",G73=""),"Entregado sin fecha de entrega",IF(ISNA(MATCH(J73,Inicio!$Z$1:$Z$6,0)),"Estado no reconocido",IF(F73&lt;C73,"Prevista anterior al pedido",IF(AND(G73&lt;&gt;"",G73&lt;C73),"Entrega anterior al pedido","")))))))</f>
        <v/>
      </c>
      <c r="U73" s="13" t="str">
        <f aca="false">IF(L73&lt;&gt;"Sí","",IF(M73="Dato pendiente","Poner fecha prevista y avisar al cliente",IF(M73="En plazo","Seguimiento normal",IF(J73="Listo para recoger","Recordar la recogida al cliente",IF(J73="Esperando pieza","Pedir fecha al proveedor y avisar al cliente",IF(J73="En taller","Revisar con el taller","Confirmar el pedido con el proveedor"))))))</f>
        <v/>
      </c>
      <c r="V73" s="29" t="str">
        <f aca="false">IF(M73="Dato pendiente",1000+ROW()/10000,IF(M73="Fuera de plazo",N73+ROW()/10000,""))</f>
        <v/>
      </c>
      <c r="W73" s="30" t="str">
        <f aca="false">IF(T73="","",ROW())</f>
        <v/>
      </c>
    </row>
    <row r="74" customFormat="false" ht="15" hidden="false" customHeight="false" outlineLevel="0" collapsed="false">
      <c r="A74" s="13" t="s">
        <v>226</v>
      </c>
      <c r="B74" s="13" t="s">
        <v>108</v>
      </c>
      <c r="C74" s="28" t="n">
        <v>46273</v>
      </c>
      <c r="D74" s="13" t="s">
        <v>68</v>
      </c>
      <c r="E74" s="13" t="s">
        <v>227</v>
      </c>
      <c r="F74" s="28" t="n">
        <v>46281</v>
      </c>
      <c r="G74" s="28" t="n">
        <v>46284</v>
      </c>
      <c r="H74" s="21" t="n">
        <v>2238.9</v>
      </c>
      <c r="I74" s="21" t="n">
        <v>650</v>
      </c>
      <c r="J74" s="13" t="s">
        <v>7</v>
      </c>
      <c r="K74" s="13" t="str">
        <f aca="false">IF(A74="","",IFERROR(INDEX(Clientes!$B$2:$B$200,MATCH(B74,Clientes!$A$2:$A$200,0)),"Cliente no registrado"))</f>
        <v>Raúl Herrero Campos</v>
      </c>
      <c r="L74" s="13" t="str">
        <f aca="false">IF(A74="","",IF(OR(J74="Entregado",J74="Anulado"),"No","Sí"))</f>
        <v>No</v>
      </c>
      <c r="M74" s="13" t="str">
        <f aca="false">IF(A74="","",IF(J74="Entregado","Entregado",IF(J74="Anulado","Anulado",IF(F74="","Dato pendiente",IF(F74&lt;Control!$C$4,"Fuera de plazo","En plazo")))))</f>
        <v>Entregado</v>
      </c>
      <c r="N74" s="13" t="str">
        <f aca="false">IF(M74="Fuera de plazo",Control!$C$4-F74,"")</f>
        <v/>
      </c>
      <c r="O74" s="13" t="str">
        <f aca="false">IF(M74="Fuera de plazo",IF(J74="Listo para recoger","Cliente (no recoge)","Tienda o proveedor"),"")</f>
        <v/>
      </c>
      <c r="P74" s="13" t="n">
        <f aca="false">IF(A74="","",COUNTIF(Incidencias!$B$2:$B$151,A74))</f>
        <v>0</v>
      </c>
      <c r="Q74" s="13" t="n">
        <f aca="false">IF(A74="","",COUNTIFS(Incidencias!$B$2:$B$151,A74,Incidencias!$F$2:$F$151,"Abierta"))</f>
        <v>0</v>
      </c>
      <c r="R74" s="21" t="n">
        <f aca="false">IF(L74="Sí",H74-I74,IF(A74="","",0))</f>
        <v>0</v>
      </c>
      <c r="S74" s="13" t="str">
        <f aca="false">IF(AND(J74="Entregado",F74&lt;&gt;"",G74&lt;&gt;""),IF(G74&lt;=F74,"Sí","No"),"")</f>
        <v>No</v>
      </c>
      <c r="T74" s="13" t="str">
        <f aca="false">IF(A74="","",IF(K74="Cliente no registrado","Cliente sin dar de alta",IF(F74="","Falta fecha prevista",IF(AND(J74="Entregado",G74=""),"Entregado sin fecha de entrega",IF(ISNA(MATCH(J74,Inicio!$Z$1:$Z$6,0)),"Estado no reconocido",IF(F74&lt;C74,"Prevista anterior al pedido",IF(AND(G74&lt;&gt;"",G74&lt;C74),"Entrega anterior al pedido","")))))))</f>
        <v/>
      </c>
      <c r="U74" s="13" t="str">
        <f aca="false">IF(L74&lt;&gt;"Sí","",IF(M74="Dato pendiente","Poner fecha prevista y avisar al cliente",IF(M74="En plazo","Seguimiento normal",IF(J74="Listo para recoger","Recordar la recogida al cliente",IF(J74="Esperando pieza","Pedir fecha al proveedor y avisar al cliente",IF(J74="En taller","Revisar con el taller","Confirmar el pedido con el proveedor"))))))</f>
        <v/>
      </c>
      <c r="V74" s="29" t="str">
        <f aca="false">IF(M74="Dato pendiente",1000+ROW()/10000,IF(M74="Fuera de plazo",N74+ROW()/10000,""))</f>
        <v/>
      </c>
      <c r="W74" s="30" t="str">
        <f aca="false">IF(T74="","",ROW())</f>
        <v/>
      </c>
    </row>
    <row r="75" customFormat="false" ht="15" hidden="false" customHeight="false" outlineLevel="0" collapsed="false">
      <c r="A75" s="13" t="s">
        <v>228</v>
      </c>
      <c r="B75" s="13" t="s">
        <v>229</v>
      </c>
      <c r="C75" s="28" t="n">
        <v>46273</v>
      </c>
      <c r="D75" s="13" t="s">
        <v>67</v>
      </c>
      <c r="E75" s="13" t="s">
        <v>230</v>
      </c>
      <c r="F75" s="28" t="n">
        <v>46279</v>
      </c>
      <c r="G75" s="28" t="n">
        <v>46284</v>
      </c>
      <c r="H75" s="21" t="n">
        <v>49.9</v>
      </c>
      <c r="I75" s="21" t="n">
        <v>0</v>
      </c>
      <c r="J75" s="13" t="s">
        <v>7</v>
      </c>
      <c r="K75" s="13" t="str">
        <f aca="false">IF(A75="","",IFERROR(INDEX(Clientes!$B$2:$B$200,MATCH(B75,Clientes!$A$2:$A$200,0)),"Cliente no registrado"))</f>
        <v>Lucía Vargas Morales</v>
      </c>
      <c r="L75" s="13" t="str">
        <f aca="false">IF(A75="","",IF(OR(J75="Entregado",J75="Anulado"),"No","Sí"))</f>
        <v>No</v>
      </c>
      <c r="M75" s="13" t="str">
        <f aca="false">IF(A75="","",IF(J75="Entregado","Entregado",IF(J75="Anulado","Anulado",IF(F75="","Dato pendiente",IF(F75&lt;Control!$C$4,"Fuera de plazo","En plazo")))))</f>
        <v>Entregado</v>
      </c>
      <c r="N75" s="13" t="str">
        <f aca="false">IF(M75="Fuera de plazo",Control!$C$4-F75,"")</f>
        <v/>
      </c>
      <c r="O75" s="13" t="str">
        <f aca="false">IF(M75="Fuera de plazo",IF(J75="Listo para recoger","Cliente (no recoge)","Tienda o proveedor"),"")</f>
        <v/>
      </c>
      <c r="P75" s="13" t="n">
        <f aca="false">IF(A75="","",COUNTIF(Incidencias!$B$2:$B$151,A75))</f>
        <v>0</v>
      </c>
      <c r="Q75" s="13" t="n">
        <f aca="false">IF(A75="","",COUNTIFS(Incidencias!$B$2:$B$151,A75,Incidencias!$F$2:$F$151,"Abierta"))</f>
        <v>0</v>
      </c>
      <c r="R75" s="21" t="n">
        <f aca="false">IF(L75="Sí",H75-I75,IF(A75="","",0))</f>
        <v>0</v>
      </c>
      <c r="S75" s="13" t="str">
        <f aca="false">IF(AND(J75="Entregado",F75&lt;&gt;"",G75&lt;&gt;""),IF(G75&lt;=F75,"Sí","No"),"")</f>
        <v>No</v>
      </c>
      <c r="T75" s="13" t="str">
        <f aca="false">IF(A75="","",IF(K75="Cliente no registrado","Cliente sin dar de alta",IF(F75="","Falta fecha prevista",IF(AND(J75="Entregado",G75=""),"Entregado sin fecha de entrega",IF(ISNA(MATCH(J75,Inicio!$Z$1:$Z$6,0)),"Estado no reconocido",IF(F75&lt;C75,"Prevista anterior al pedido",IF(AND(G75&lt;&gt;"",G75&lt;C75),"Entrega anterior al pedido","")))))))</f>
        <v/>
      </c>
      <c r="U75" s="13" t="str">
        <f aca="false">IF(L75&lt;&gt;"Sí","",IF(M75="Dato pendiente","Poner fecha prevista y avisar al cliente",IF(M75="En plazo","Seguimiento normal",IF(J75="Listo para recoger","Recordar la recogida al cliente",IF(J75="Esperando pieza","Pedir fecha al proveedor y avisar al cliente",IF(J75="En taller","Revisar con el taller","Confirmar el pedido con el proveedor"))))))</f>
        <v/>
      </c>
      <c r="V75" s="29" t="str">
        <f aca="false">IF(M75="Dato pendiente",1000+ROW()/10000,IF(M75="Fuera de plazo",N75+ROW()/10000,""))</f>
        <v/>
      </c>
      <c r="W75" s="30" t="str">
        <f aca="false">IF(T75="","",ROW())</f>
        <v/>
      </c>
    </row>
    <row r="76" customFormat="false" ht="15" hidden="false" customHeight="false" outlineLevel="0" collapsed="false">
      <c r="A76" s="13" t="s">
        <v>231</v>
      </c>
      <c r="B76" s="13" t="s">
        <v>117</v>
      </c>
      <c r="C76" s="28" t="n">
        <v>46274</v>
      </c>
      <c r="D76" s="13" t="s">
        <v>67</v>
      </c>
      <c r="E76" s="13" t="s">
        <v>232</v>
      </c>
      <c r="F76" s="28" t="n">
        <v>46279</v>
      </c>
      <c r="G76" s="28" t="n">
        <v>46280</v>
      </c>
      <c r="H76" s="21" t="n">
        <v>55</v>
      </c>
      <c r="I76" s="21" t="n">
        <v>20</v>
      </c>
      <c r="J76" s="13" t="s">
        <v>7</v>
      </c>
      <c r="K76" s="13" t="str">
        <f aca="false">IF(A76="","",IFERROR(INDEX(Clientes!$B$2:$B$200,MATCH(B76,Clientes!$A$2:$A$200,0)),"Cliente no registrado"))</f>
        <v>Clínica Veterinaria Albaicín</v>
      </c>
      <c r="L76" s="13" t="str">
        <f aca="false">IF(A76="","",IF(OR(J76="Entregado",J76="Anulado"),"No","Sí"))</f>
        <v>No</v>
      </c>
      <c r="M76" s="13" t="str">
        <f aca="false">IF(A76="","",IF(J76="Entregado","Entregado",IF(J76="Anulado","Anulado",IF(F76="","Dato pendiente",IF(F76&lt;Control!$C$4,"Fuera de plazo","En plazo")))))</f>
        <v>Entregado</v>
      </c>
      <c r="N76" s="13" t="str">
        <f aca="false">IF(M76="Fuera de plazo",Control!$C$4-F76,"")</f>
        <v/>
      </c>
      <c r="O76" s="13" t="str">
        <f aca="false">IF(M76="Fuera de plazo",IF(J76="Listo para recoger","Cliente (no recoge)","Tienda o proveedor"),"")</f>
        <v/>
      </c>
      <c r="P76" s="13" t="n">
        <f aca="false">IF(A76="","",COUNTIF(Incidencias!$B$2:$B$151,A76))</f>
        <v>0</v>
      </c>
      <c r="Q76" s="13" t="n">
        <f aca="false">IF(A76="","",COUNTIFS(Incidencias!$B$2:$B$151,A76,Incidencias!$F$2:$F$151,"Abierta"))</f>
        <v>0</v>
      </c>
      <c r="R76" s="21" t="n">
        <f aca="false">IF(L76="Sí",H76-I76,IF(A76="","",0))</f>
        <v>0</v>
      </c>
      <c r="S76" s="13" t="str">
        <f aca="false">IF(AND(J76="Entregado",F76&lt;&gt;"",G76&lt;&gt;""),IF(G76&lt;=F76,"Sí","No"),"")</f>
        <v>No</v>
      </c>
      <c r="T76" s="13" t="str">
        <f aca="false">IF(A76="","",IF(K76="Cliente no registrado","Cliente sin dar de alta",IF(F76="","Falta fecha prevista",IF(AND(J76="Entregado",G76=""),"Entregado sin fecha de entrega",IF(ISNA(MATCH(J76,Inicio!$Z$1:$Z$6,0)),"Estado no reconocido",IF(F76&lt;C76,"Prevista anterior al pedido",IF(AND(G76&lt;&gt;"",G76&lt;C76),"Entrega anterior al pedido","")))))))</f>
        <v/>
      </c>
      <c r="U76" s="13" t="str">
        <f aca="false">IF(L76&lt;&gt;"Sí","",IF(M76="Dato pendiente","Poner fecha prevista y avisar al cliente",IF(M76="En plazo","Seguimiento normal",IF(J76="Listo para recoger","Recordar la recogida al cliente",IF(J76="Esperando pieza","Pedir fecha al proveedor y avisar al cliente",IF(J76="En taller","Revisar con el taller","Confirmar el pedido con el proveedor"))))))</f>
        <v/>
      </c>
      <c r="V76" s="29" t="str">
        <f aca="false">IF(M76="Dato pendiente",1000+ROW()/10000,IF(M76="Fuera de plazo",N76+ROW()/10000,""))</f>
        <v/>
      </c>
      <c r="W76" s="30" t="str">
        <f aca="false">IF(T76="","",ROW())</f>
        <v/>
      </c>
    </row>
    <row r="77" customFormat="false" ht="15" hidden="false" customHeight="false" outlineLevel="0" collapsed="false">
      <c r="A77" s="13" t="s">
        <v>233</v>
      </c>
      <c r="B77" s="13" t="s">
        <v>111</v>
      </c>
      <c r="C77" s="28" t="n">
        <v>46274</v>
      </c>
      <c r="D77" s="13" t="s">
        <v>68</v>
      </c>
      <c r="E77" s="13" t="s">
        <v>171</v>
      </c>
      <c r="F77" s="28" t="n">
        <v>46281</v>
      </c>
      <c r="G77" s="28" t="n">
        <v>46281</v>
      </c>
      <c r="H77" s="21" t="n">
        <v>1238.9</v>
      </c>
      <c r="I77" s="21" t="n">
        <v>600</v>
      </c>
      <c r="J77" s="13" t="s">
        <v>7</v>
      </c>
      <c r="K77" s="13" t="str">
        <f aca="false">IF(A77="","",IFERROR(INDEX(Clientes!$B$2:$B$200,MATCH(B77,Clientes!$A$2:$A$200,0)),"Cliente no registrado"))</f>
        <v>Gestoría Ruiz y Molina</v>
      </c>
      <c r="L77" s="13" t="str">
        <f aca="false">IF(A77="","",IF(OR(J77="Entregado",J77="Anulado"),"No","Sí"))</f>
        <v>No</v>
      </c>
      <c r="M77" s="13" t="str">
        <f aca="false">IF(A77="","",IF(J77="Entregado","Entregado",IF(J77="Anulado","Anulado",IF(F77="","Dato pendiente",IF(F77&lt;Control!$C$4,"Fuera de plazo","En plazo")))))</f>
        <v>Entregado</v>
      </c>
      <c r="N77" s="13" t="str">
        <f aca="false">IF(M77="Fuera de plazo",Control!$C$4-F77,"")</f>
        <v/>
      </c>
      <c r="O77" s="13" t="str">
        <f aca="false">IF(M77="Fuera de plazo",IF(J77="Listo para recoger","Cliente (no recoge)","Tienda o proveedor"),"")</f>
        <v/>
      </c>
      <c r="P77" s="13" t="n">
        <f aca="false">IF(A77="","",COUNTIF(Incidencias!$B$2:$B$151,A77))</f>
        <v>0</v>
      </c>
      <c r="Q77" s="13" t="n">
        <f aca="false">IF(A77="","",COUNTIFS(Incidencias!$B$2:$B$151,A77,Incidencias!$F$2:$F$151,"Abierta"))</f>
        <v>0</v>
      </c>
      <c r="R77" s="21" t="n">
        <f aca="false">IF(L77="Sí",H77-I77,IF(A77="","",0))</f>
        <v>0</v>
      </c>
      <c r="S77" s="13" t="str">
        <f aca="false">IF(AND(J77="Entregado",F77&lt;&gt;"",G77&lt;&gt;""),IF(G77&lt;=F77,"Sí","No"),"")</f>
        <v>Sí</v>
      </c>
      <c r="T77" s="13" t="str">
        <f aca="false">IF(A77="","",IF(K77="Cliente no registrado","Cliente sin dar de alta",IF(F77="","Falta fecha prevista",IF(AND(J77="Entregado",G77=""),"Entregado sin fecha de entrega",IF(ISNA(MATCH(J77,Inicio!$Z$1:$Z$6,0)),"Estado no reconocido",IF(F77&lt;C77,"Prevista anterior al pedido",IF(AND(G77&lt;&gt;"",G77&lt;C77),"Entrega anterior al pedido","")))))))</f>
        <v/>
      </c>
      <c r="U77" s="13" t="str">
        <f aca="false">IF(L77&lt;&gt;"Sí","",IF(M77="Dato pendiente","Poner fecha prevista y avisar al cliente",IF(M77="En plazo","Seguimiento normal",IF(J77="Listo para recoger","Recordar la recogida al cliente",IF(J77="Esperando pieza","Pedir fecha al proveedor y avisar al cliente",IF(J77="En taller","Revisar con el taller","Confirmar el pedido con el proveedor"))))))</f>
        <v/>
      </c>
      <c r="V77" s="29" t="str">
        <f aca="false">IF(M77="Dato pendiente",1000+ROW()/10000,IF(M77="Fuera de plazo",N77+ROW()/10000,""))</f>
        <v/>
      </c>
      <c r="W77" s="30" t="str">
        <f aca="false">IF(T77="","",ROW())</f>
        <v/>
      </c>
    </row>
    <row r="78" customFormat="false" ht="15" hidden="false" customHeight="false" outlineLevel="0" collapsed="false">
      <c r="A78" s="13" t="s">
        <v>234</v>
      </c>
      <c r="B78" s="13" t="s">
        <v>111</v>
      </c>
      <c r="C78" s="28" t="n">
        <v>46276</v>
      </c>
      <c r="D78" s="13" t="s">
        <v>67</v>
      </c>
      <c r="E78" s="13" t="s">
        <v>184</v>
      </c>
      <c r="F78" s="28" t="n">
        <v>46281</v>
      </c>
      <c r="G78" s="28"/>
      <c r="H78" s="21" t="n">
        <v>59.9</v>
      </c>
      <c r="I78" s="21" t="n">
        <v>0</v>
      </c>
      <c r="J78" s="13" t="s">
        <v>5</v>
      </c>
      <c r="K78" s="13" t="str">
        <f aca="false">IF(A78="","",IFERROR(INDEX(Clientes!$B$2:$B$200,MATCH(B78,Clientes!$A$2:$A$200,0)),"Cliente no registrado"))</f>
        <v>Gestoría Ruiz y Molina</v>
      </c>
      <c r="L78" s="13" t="str">
        <f aca="false">IF(A78="","",IF(OR(J78="Entregado",J78="Anulado"),"No","Sí"))</f>
        <v>Sí</v>
      </c>
      <c r="M78" s="13" t="str">
        <f aca="false">IF(A78="","",IF(J78="Entregado","Entregado",IF(J78="Anulado","Anulado",IF(F78="","Dato pendiente",IF(F78&lt;Control!$C$4,"Fuera de plazo","En plazo")))))</f>
        <v>Fuera de plazo</v>
      </c>
      <c r="N78" s="13" t="n">
        <f aca="false">IF(M78="Fuera de plazo",Control!$C$4-F78,"")</f>
        <v>9</v>
      </c>
      <c r="O78" s="13" t="str">
        <f aca="false">IF(M78="Fuera de plazo",IF(J78="Listo para recoger","Cliente (no recoge)","Tienda o proveedor"),"")</f>
        <v>Cliente (no recoge)</v>
      </c>
      <c r="P78" s="13" t="n">
        <f aca="false">IF(A78="","",COUNTIF(Incidencias!$B$2:$B$151,A78))</f>
        <v>0</v>
      </c>
      <c r="Q78" s="13" t="n">
        <f aca="false">IF(A78="","",COUNTIFS(Incidencias!$B$2:$B$151,A78,Incidencias!$F$2:$F$151,"Abierta"))</f>
        <v>0</v>
      </c>
      <c r="R78" s="21" t="n">
        <f aca="false">IF(L78="Sí",H78-I78,IF(A78="","",0))</f>
        <v>59.9</v>
      </c>
      <c r="S78" s="13" t="str">
        <f aca="false">IF(AND(J78="Entregado",F78&lt;&gt;"",G78&lt;&gt;""),IF(G78&lt;=F78,"Sí","No"),"")</f>
        <v/>
      </c>
      <c r="T78" s="13" t="str">
        <f aca="false">IF(A78="","",IF(K78="Cliente no registrado","Cliente sin dar de alta",IF(F78="","Falta fecha prevista",IF(AND(J78="Entregado",G78=""),"Entregado sin fecha de entrega",IF(ISNA(MATCH(J78,Inicio!$Z$1:$Z$6,0)),"Estado no reconocido",IF(F78&lt;C78,"Prevista anterior al pedido",IF(AND(G78&lt;&gt;"",G78&lt;C78),"Entrega anterior al pedido","")))))))</f>
        <v/>
      </c>
      <c r="U78" s="13" t="str">
        <f aca="false">IF(L78&lt;&gt;"Sí","",IF(M78="Dato pendiente","Poner fecha prevista y avisar al cliente",IF(M78="En plazo","Seguimiento normal",IF(J78="Listo para recoger","Recordar la recogida al cliente",IF(J78="Esperando pieza","Pedir fecha al proveedor y avisar al cliente",IF(J78="En taller","Revisar con el taller","Confirmar el pedido con el proveedor"))))))</f>
        <v>Recordar la recogida al cliente</v>
      </c>
      <c r="V78" s="29" t="n">
        <f aca="false">IF(M78="Dato pendiente",1000+ROW()/10000,IF(M78="Fuera de plazo",N78+ROW()/10000,""))</f>
        <v>9.0078</v>
      </c>
      <c r="W78" s="30" t="str">
        <f aca="false">IF(T78="","",ROW())</f>
        <v/>
      </c>
    </row>
    <row r="79" customFormat="false" ht="15" hidden="false" customHeight="false" outlineLevel="0" collapsed="false">
      <c r="A79" s="13" t="s">
        <v>235</v>
      </c>
      <c r="B79" s="13" t="s">
        <v>137</v>
      </c>
      <c r="C79" s="28" t="n">
        <v>46276</v>
      </c>
      <c r="D79" s="13" t="s">
        <v>69</v>
      </c>
      <c r="E79" s="13" t="s">
        <v>236</v>
      </c>
      <c r="F79" s="28" t="n">
        <v>46284</v>
      </c>
      <c r="G79" s="28" t="n">
        <v>46284</v>
      </c>
      <c r="H79" s="21" t="n">
        <v>99.9</v>
      </c>
      <c r="I79" s="21" t="n">
        <v>99.9</v>
      </c>
      <c r="J79" s="13" t="s">
        <v>7</v>
      </c>
      <c r="K79" s="13" t="str">
        <f aca="false">IF(A79="","",IFERROR(INDEX(Clientes!$B$2:$B$200,MATCH(B79,Clientes!$A$2:$A$200,0)),"Cliente no registrado"))</f>
        <v>Nerea Fuentes Cano</v>
      </c>
      <c r="L79" s="13" t="str">
        <f aca="false">IF(A79="","",IF(OR(J79="Entregado",J79="Anulado"),"No","Sí"))</f>
        <v>No</v>
      </c>
      <c r="M79" s="13" t="str">
        <f aca="false">IF(A79="","",IF(J79="Entregado","Entregado",IF(J79="Anulado","Anulado",IF(F79="","Dato pendiente",IF(F79&lt;Control!$C$4,"Fuera de plazo","En plazo")))))</f>
        <v>Entregado</v>
      </c>
      <c r="N79" s="13" t="str">
        <f aca="false">IF(M79="Fuera de plazo",Control!$C$4-F79,"")</f>
        <v/>
      </c>
      <c r="O79" s="13" t="str">
        <f aca="false">IF(M79="Fuera de plazo",IF(J79="Listo para recoger","Cliente (no recoge)","Tienda o proveedor"),"")</f>
        <v/>
      </c>
      <c r="P79" s="13" t="n">
        <f aca="false">IF(A79="","",COUNTIF(Incidencias!$B$2:$B$151,A79))</f>
        <v>0</v>
      </c>
      <c r="Q79" s="13" t="n">
        <f aca="false">IF(A79="","",COUNTIFS(Incidencias!$B$2:$B$151,A79,Incidencias!$F$2:$F$151,"Abierta"))</f>
        <v>0</v>
      </c>
      <c r="R79" s="21" t="n">
        <f aca="false">IF(L79="Sí",H79-I79,IF(A79="","",0))</f>
        <v>0</v>
      </c>
      <c r="S79" s="13" t="str">
        <f aca="false">IF(AND(J79="Entregado",F79&lt;&gt;"",G79&lt;&gt;""),IF(G79&lt;=F79,"Sí","No"),"")</f>
        <v>Sí</v>
      </c>
      <c r="T79" s="13" t="str">
        <f aca="false">IF(A79="","",IF(K79="Cliente no registrado","Cliente sin dar de alta",IF(F79="","Falta fecha prevista",IF(AND(J79="Entregado",G79=""),"Entregado sin fecha de entrega",IF(ISNA(MATCH(J79,Inicio!$Z$1:$Z$6,0)),"Estado no reconocido",IF(F79&lt;C79,"Prevista anterior al pedido",IF(AND(G79&lt;&gt;"",G79&lt;C79),"Entrega anterior al pedido","")))))))</f>
        <v/>
      </c>
      <c r="U79" s="13" t="str">
        <f aca="false">IF(L79&lt;&gt;"Sí","",IF(M79="Dato pendiente","Poner fecha prevista y avisar al cliente",IF(M79="En plazo","Seguimiento normal",IF(J79="Listo para recoger","Recordar la recogida al cliente",IF(J79="Esperando pieza","Pedir fecha al proveedor y avisar al cliente",IF(J79="En taller","Revisar con el taller","Confirmar el pedido con el proveedor"))))))</f>
        <v/>
      </c>
      <c r="V79" s="29" t="str">
        <f aca="false">IF(M79="Dato pendiente",1000+ROW()/10000,IF(M79="Fuera de plazo",N79+ROW()/10000,""))</f>
        <v/>
      </c>
      <c r="W79" s="30" t="str">
        <f aca="false">IF(T79="","",ROW())</f>
        <v/>
      </c>
    </row>
    <row r="80" customFormat="false" ht="15" hidden="false" customHeight="false" outlineLevel="0" collapsed="false">
      <c r="A80" s="13" t="s">
        <v>237</v>
      </c>
      <c r="B80" s="13" t="s">
        <v>164</v>
      </c>
      <c r="C80" s="28" t="n">
        <v>46276</v>
      </c>
      <c r="D80" s="13" t="s">
        <v>68</v>
      </c>
      <c r="E80" s="13" t="s">
        <v>171</v>
      </c>
      <c r="F80" s="28" t="n">
        <v>46282</v>
      </c>
      <c r="G80" s="28" t="n">
        <v>46289</v>
      </c>
      <c r="H80" s="21" t="n">
        <v>1238.9</v>
      </c>
      <c r="I80" s="21" t="n">
        <v>600</v>
      </c>
      <c r="J80" s="13" t="s">
        <v>3</v>
      </c>
      <c r="K80" s="13" t="str">
        <f aca="false">IF(A80="","",IFERROR(INDEX(Clientes!$B$2:$B$200,MATCH(B80,Clientes!$A$2:$A$200,0)),"Cliente no registrado"))</f>
        <v>Hugo Martín Serrano</v>
      </c>
      <c r="L80" s="13" t="str">
        <f aca="false">IF(A80="","",IF(OR(J80="Entregado",J80="Anulado"),"No","Sí"))</f>
        <v>Sí</v>
      </c>
      <c r="M80" s="13" t="str">
        <f aca="false">IF(A80="","",IF(J80="Entregado","Entregado",IF(J80="Anulado","Anulado",IF(F80="","Dato pendiente",IF(F80&lt;Control!$C$4,"Fuera de plazo","En plazo")))))</f>
        <v>Fuera de plazo</v>
      </c>
      <c r="N80" s="13" t="n">
        <f aca="false">IF(M80="Fuera de plazo",Control!$C$4-F80,"")</f>
        <v>8</v>
      </c>
      <c r="O80" s="13" t="str">
        <f aca="false">IF(M80="Fuera de plazo",IF(J80="Listo para recoger","Cliente (no recoge)","Tienda o proveedor"),"")</f>
        <v>Tienda o proveedor</v>
      </c>
      <c r="P80" s="13" t="n">
        <f aca="false">IF(A80="","",COUNTIF(Incidencias!$B$2:$B$151,A80))</f>
        <v>2</v>
      </c>
      <c r="Q80" s="13" t="n">
        <f aca="false">IF(A80="","",COUNTIFS(Incidencias!$B$2:$B$151,A80,Incidencias!$F$2:$F$151,"Abierta"))</f>
        <v>2</v>
      </c>
      <c r="R80" s="21" t="n">
        <f aca="false">IF(L80="Sí",H80-I80,IF(A80="","",0))</f>
        <v>638.9</v>
      </c>
      <c r="S80" s="13" t="str">
        <f aca="false">IF(AND(J80="Entregado",F80&lt;&gt;"",G80&lt;&gt;""),IF(G80&lt;=F80,"Sí","No"),"")</f>
        <v/>
      </c>
      <c r="T80" s="13" t="str">
        <f aca="false">IF(A80="","",IF(K80="Cliente no registrado","Cliente sin dar de alta",IF(F80="","Falta fecha prevista",IF(AND(J80="Entregado",G80=""),"Entregado sin fecha de entrega",IF(ISNA(MATCH(J80,Inicio!$Z$1:$Z$6,0)),"Estado no reconocido",IF(F80&lt;C80,"Prevista anterior al pedido",IF(AND(G80&lt;&gt;"",G80&lt;C80),"Entrega anterior al pedido","")))))))</f>
        <v/>
      </c>
      <c r="U80" s="13" t="str">
        <f aca="false">IF(L80&lt;&gt;"Sí","",IF(M80="Dato pendiente","Poner fecha prevista y avisar al cliente",IF(M80="En plazo","Seguimiento normal",IF(J80="Listo para recoger","Recordar la recogida al cliente",IF(J80="Esperando pieza","Pedir fecha al proveedor y avisar al cliente",IF(J80="En taller","Revisar con el taller","Confirmar el pedido con el proveedor"))))))</f>
        <v>Pedir fecha al proveedor y avisar al cliente</v>
      </c>
      <c r="V80" s="29" t="n">
        <f aca="false">IF(M80="Dato pendiente",1000+ROW()/10000,IF(M80="Fuera de plazo",N80+ROW()/10000,""))</f>
        <v>8.008</v>
      </c>
      <c r="W80" s="30" t="str">
        <f aca="false">IF(T80="","",ROW())</f>
        <v/>
      </c>
    </row>
    <row r="81" customFormat="false" ht="15" hidden="false" customHeight="false" outlineLevel="0" collapsed="false">
      <c r="A81" s="13" t="s">
        <v>238</v>
      </c>
      <c r="B81" s="13" t="s">
        <v>164</v>
      </c>
      <c r="C81" s="28" t="n">
        <v>46276</v>
      </c>
      <c r="D81" s="13" t="s">
        <v>67</v>
      </c>
      <c r="E81" s="13" t="s">
        <v>158</v>
      </c>
      <c r="F81" s="28" t="n">
        <v>46279</v>
      </c>
      <c r="G81" s="28" t="n">
        <v>46279</v>
      </c>
      <c r="H81" s="21" t="n">
        <v>69</v>
      </c>
      <c r="I81" s="21" t="n">
        <v>0</v>
      </c>
      <c r="J81" s="13" t="s">
        <v>7</v>
      </c>
      <c r="K81" s="13" t="str">
        <f aca="false">IF(A81="","",IFERROR(INDEX(Clientes!$B$2:$B$200,MATCH(B81,Clientes!$A$2:$A$200,0)),"Cliente no registrado"))</f>
        <v>Hugo Martín Serrano</v>
      </c>
      <c r="L81" s="13" t="str">
        <f aca="false">IF(A81="","",IF(OR(J81="Entregado",J81="Anulado"),"No","Sí"))</f>
        <v>No</v>
      </c>
      <c r="M81" s="13" t="str">
        <f aca="false">IF(A81="","",IF(J81="Entregado","Entregado",IF(J81="Anulado","Anulado",IF(F81="","Dato pendiente",IF(F81&lt;Control!$C$4,"Fuera de plazo","En plazo")))))</f>
        <v>Entregado</v>
      </c>
      <c r="N81" s="13" t="str">
        <f aca="false">IF(M81="Fuera de plazo",Control!$C$4-F81,"")</f>
        <v/>
      </c>
      <c r="O81" s="13" t="str">
        <f aca="false">IF(M81="Fuera de plazo",IF(J81="Listo para recoger","Cliente (no recoge)","Tienda o proveedor"),"")</f>
        <v/>
      </c>
      <c r="P81" s="13" t="n">
        <f aca="false">IF(A81="","",COUNTIF(Incidencias!$B$2:$B$151,A81))</f>
        <v>0</v>
      </c>
      <c r="Q81" s="13" t="n">
        <f aca="false">IF(A81="","",COUNTIFS(Incidencias!$B$2:$B$151,A81,Incidencias!$F$2:$F$151,"Abierta"))</f>
        <v>0</v>
      </c>
      <c r="R81" s="21" t="n">
        <f aca="false">IF(L81="Sí",H81-I81,IF(A81="","",0))</f>
        <v>0</v>
      </c>
      <c r="S81" s="13" t="str">
        <f aca="false">IF(AND(J81="Entregado",F81&lt;&gt;"",G81&lt;&gt;""),IF(G81&lt;=F81,"Sí","No"),"")</f>
        <v>Sí</v>
      </c>
      <c r="T81" s="13" t="str">
        <f aca="false">IF(A81="","",IF(K81="Cliente no registrado","Cliente sin dar de alta",IF(F81="","Falta fecha prevista",IF(AND(J81="Entregado",G81=""),"Entregado sin fecha de entrega",IF(ISNA(MATCH(J81,Inicio!$Z$1:$Z$6,0)),"Estado no reconocido",IF(F81&lt;C81,"Prevista anterior al pedido",IF(AND(G81&lt;&gt;"",G81&lt;C81),"Entrega anterior al pedido","")))))))</f>
        <v/>
      </c>
      <c r="U81" s="13" t="str">
        <f aca="false">IF(L81&lt;&gt;"Sí","",IF(M81="Dato pendiente","Poner fecha prevista y avisar al cliente",IF(M81="En plazo","Seguimiento normal",IF(J81="Listo para recoger","Recordar la recogida al cliente",IF(J81="Esperando pieza","Pedir fecha al proveedor y avisar al cliente",IF(J81="En taller","Revisar con el taller","Confirmar el pedido con el proveedor"))))))</f>
        <v/>
      </c>
      <c r="V81" s="29" t="str">
        <f aca="false">IF(M81="Dato pendiente",1000+ROW()/10000,IF(M81="Fuera de plazo",N81+ROW()/10000,""))</f>
        <v/>
      </c>
      <c r="W81" s="30" t="str">
        <f aca="false">IF(T81="","",ROW())</f>
        <v/>
      </c>
    </row>
    <row r="82" customFormat="false" ht="15" hidden="false" customHeight="false" outlineLevel="0" collapsed="false">
      <c r="A82" s="13" t="s">
        <v>239</v>
      </c>
      <c r="B82" s="13" t="s">
        <v>117</v>
      </c>
      <c r="C82" s="28" t="n">
        <v>46277</v>
      </c>
      <c r="D82" s="13" t="s">
        <v>72</v>
      </c>
      <c r="E82" s="13" t="s">
        <v>162</v>
      </c>
      <c r="F82" s="28" t="n">
        <v>46281</v>
      </c>
      <c r="G82" s="28" t="n">
        <v>46284</v>
      </c>
      <c r="H82" s="21" t="n">
        <v>174.5</v>
      </c>
      <c r="I82" s="21" t="n">
        <v>174.5</v>
      </c>
      <c r="J82" s="13" t="s">
        <v>7</v>
      </c>
      <c r="K82" s="13" t="str">
        <f aca="false">IF(A82="","",IFERROR(INDEX(Clientes!$B$2:$B$200,MATCH(B82,Clientes!$A$2:$A$200,0)),"Cliente no registrado"))</f>
        <v>Clínica Veterinaria Albaicín</v>
      </c>
      <c r="L82" s="13" t="str">
        <f aca="false">IF(A82="","",IF(OR(J82="Entregado",J82="Anulado"),"No","Sí"))</f>
        <v>No</v>
      </c>
      <c r="M82" s="13" t="str">
        <f aca="false">IF(A82="","",IF(J82="Entregado","Entregado",IF(J82="Anulado","Anulado",IF(F82="","Dato pendiente",IF(F82&lt;Control!$C$4,"Fuera de plazo","En plazo")))))</f>
        <v>Entregado</v>
      </c>
      <c r="N82" s="13" t="str">
        <f aca="false">IF(M82="Fuera de plazo",Control!$C$4-F82,"")</f>
        <v/>
      </c>
      <c r="O82" s="13" t="str">
        <f aca="false">IF(M82="Fuera de plazo",IF(J82="Listo para recoger","Cliente (no recoge)","Tienda o proveedor"),"")</f>
        <v/>
      </c>
      <c r="P82" s="13" t="n">
        <f aca="false">IF(A82="","",COUNTIF(Incidencias!$B$2:$B$151,A82))</f>
        <v>0</v>
      </c>
      <c r="Q82" s="13" t="n">
        <f aca="false">IF(A82="","",COUNTIFS(Incidencias!$B$2:$B$151,A82,Incidencias!$F$2:$F$151,"Abierta"))</f>
        <v>0</v>
      </c>
      <c r="R82" s="21" t="n">
        <f aca="false">IF(L82="Sí",H82-I82,IF(A82="","",0))</f>
        <v>0</v>
      </c>
      <c r="S82" s="13" t="str">
        <f aca="false">IF(AND(J82="Entregado",F82&lt;&gt;"",G82&lt;&gt;""),IF(G82&lt;=F82,"Sí","No"),"")</f>
        <v>No</v>
      </c>
      <c r="T82" s="13" t="str">
        <f aca="false">IF(A82="","",IF(K82="Cliente no registrado","Cliente sin dar de alta",IF(F82="","Falta fecha prevista",IF(AND(J82="Entregado",G82=""),"Entregado sin fecha de entrega",IF(ISNA(MATCH(J82,Inicio!$Z$1:$Z$6,0)),"Estado no reconocido",IF(F82&lt;C82,"Prevista anterior al pedido",IF(AND(G82&lt;&gt;"",G82&lt;C82),"Entrega anterior al pedido","")))))))</f>
        <v/>
      </c>
      <c r="U82" s="13" t="str">
        <f aca="false">IF(L82&lt;&gt;"Sí","",IF(M82="Dato pendiente","Poner fecha prevista y avisar al cliente",IF(M82="En plazo","Seguimiento normal",IF(J82="Listo para recoger","Recordar la recogida al cliente",IF(J82="Esperando pieza","Pedir fecha al proveedor y avisar al cliente",IF(J82="En taller","Revisar con el taller","Confirmar el pedido con el proveedor"))))))</f>
        <v/>
      </c>
      <c r="V82" s="29" t="str">
        <f aca="false">IF(M82="Dato pendiente",1000+ROW()/10000,IF(M82="Fuera de plazo",N82+ROW()/10000,""))</f>
        <v/>
      </c>
      <c r="W82" s="30" t="str">
        <f aca="false">IF(T82="","",ROW())</f>
        <v/>
      </c>
    </row>
    <row r="83" customFormat="false" ht="15" hidden="false" customHeight="false" outlineLevel="0" collapsed="false">
      <c r="A83" s="13" t="s">
        <v>240</v>
      </c>
      <c r="B83" s="13" t="s">
        <v>114</v>
      </c>
      <c r="C83" s="28" t="n">
        <v>46277</v>
      </c>
      <c r="D83" s="13" t="s">
        <v>68</v>
      </c>
      <c r="E83" s="13" t="s">
        <v>241</v>
      </c>
      <c r="F83" s="28" t="n">
        <v>46283</v>
      </c>
      <c r="G83" s="28" t="n">
        <v>46289</v>
      </c>
      <c r="H83" s="21" t="n">
        <v>709</v>
      </c>
      <c r="I83" s="21" t="n">
        <v>350</v>
      </c>
      <c r="J83" s="13" t="s">
        <v>7</v>
      </c>
      <c r="K83" s="13" t="str">
        <f aca="false">IF(A83="","",IFERROR(INDEX(Clientes!$B$2:$B$200,MATCH(B83,Clientes!$A$2:$A$200,0)),"Cliente no registrado"))</f>
        <v>Daniel Romero Gil</v>
      </c>
      <c r="L83" s="13" t="str">
        <f aca="false">IF(A83="","",IF(OR(J83="Entregado",J83="Anulado"),"No","Sí"))</f>
        <v>No</v>
      </c>
      <c r="M83" s="13" t="str">
        <f aca="false">IF(A83="","",IF(J83="Entregado","Entregado",IF(J83="Anulado","Anulado",IF(F83="","Dato pendiente",IF(F83&lt;Control!$C$4,"Fuera de plazo","En plazo")))))</f>
        <v>Entregado</v>
      </c>
      <c r="N83" s="13" t="str">
        <f aca="false">IF(M83="Fuera de plazo",Control!$C$4-F83,"")</f>
        <v/>
      </c>
      <c r="O83" s="13" t="str">
        <f aca="false">IF(M83="Fuera de plazo",IF(J83="Listo para recoger","Cliente (no recoge)","Tienda o proveedor"),"")</f>
        <v/>
      </c>
      <c r="P83" s="13" t="n">
        <f aca="false">IF(A83="","",COUNTIF(Incidencias!$B$2:$B$151,A83))</f>
        <v>0</v>
      </c>
      <c r="Q83" s="13" t="n">
        <f aca="false">IF(A83="","",COUNTIFS(Incidencias!$B$2:$B$151,A83,Incidencias!$F$2:$F$151,"Abierta"))</f>
        <v>0</v>
      </c>
      <c r="R83" s="21" t="n">
        <f aca="false">IF(L83="Sí",H83-I83,IF(A83="","",0))</f>
        <v>0</v>
      </c>
      <c r="S83" s="13" t="str">
        <f aca="false">IF(AND(J83="Entregado",F83&lt;&gt;"",G83&lt;&gt;""),IF(G83&lt;=F83,"Sí","No"),"")</f>
        <v>No</v>
      </c>
      <c r="T83" s="13" t="str">
        <f aca="false">IF(A83="","",IF(K83="Cliente no registrado","Cliente sin dar de alta",IF(F83="","Falta fecha prevista",IF(AND(J83="Entregado",G83=""),"Entregado sin fecha de entrega",IF(ISNA(MATCH(J83,Inicio!$Z$1:$Z$6,0)),"Estado no reconocido",IF(F83&lt;C83,"Prevista anterior al pedido",IF(AND(G83&lt;&gt;"",G83&lt;C83),"Entrega anterior al pedido","")))))))</f>
        <v/>
      </c>
      <c r="U83" s="13" t="str">
        <f aca="false">IF(L83&lt;&gt;"Sí","",IF(M83="Dato pendiente","Poner fecha prevista y avisar al cliente",IF(M83="En plazo","Seguimiento normal",IF(J83="Listo para recoger","Recordar la recogida al cliente",IF(J83="Esperando pieza","Pedir fecha al proveedor y avisar al cliente",IF(J83="En taller","Revisar con el taller","Confirmar el pedido con el proveedor"))))))</f>
        <v/>
      </c>
      <c r="V83" s="29" t="str">
        <f aca="false">IF(M83="Dato pendiente",1000+ROW()/10000,IF(M83="Fuera de plazo",N83+ROW()/10000,""))</f>
        <v/>
      </c>
      <c r="W83" s="30" t="str">
        <f aca="false">IF(T83="","",ROW())</f>
        <v/>
      </c>
    </row>
    <row r="84" customFormat="false" ht="15" hidden="false" customHeight="false" outlineLevel="0" collapsed="false">
      <c r="A84" s="13" t="s">
        <v>242</v>
      </c>
      <c r="B84" s="13" t="s">
        <v>114</v>
      </c>
      <c r="C84" s="28" t="n">
        <v>46277</v>
      </c>
      <c r="D84" s="13" t="s">
        <v>70</v>
      </c>
      <c r="E84" s="13" t="s">
        <v>199</v>
      </c>
      <c r="F84" s="28" t="n">
        <v>46281</v>
      </c>
      <c r="G84" s="28" t="n">
        <v>46281</v>
      </c>
      <c r="H84" s="21" t="n">
        <v>699</v>
      </c>
      <c r="I84" s="21" t="n">
        <v>100</v>
      </c>
      <c r="J84" s="13" t="s">
        <v>7</v>
      </c>
      <c r="K84" s="13" t="str">
        <f aca="false">IF(A84="","",IFERROR(INDEX(Clientes!$B$2:$B$200,MATCH(B84,Clientes!$A$2:$A$200,0)),"Cliente no registrado"))</f>
        <v>Daniel Romero Gil</v>
      </c>
      <c r="L84" s="13" t="str">
        <f aca="false">IF(A84="","",IF(OR(J84="Entregado",J84="Anulado"),"No","Sí"))</f>
        <v>No</v>
      </c>
      <c r="M84" s="13" t="str">
        <f aca="false">IF(A84="","",IF(J84="Entregado","Entregado",IF(J84="Anulado","Anulado",IF(F84="","Dato pendiente",IF(F84&lt;Control!$C$4,"Fuera de plazo","En plazo")))))</f>
        <v>Entregado</v>
      </c>
      <c r="N84" s="13" t="str">
        <f aca="false">IF(M84="Fuera de plazo",Control!$C$4-F84,"")</f>
        <v/>
      </c>
      <c r="O84" s="13" t="str">
        <f aca="false">IF(M84="Fuera de plazo",IF(J84="Listo para recoger","Cliente (no recoge)","Tienda o proveedor"),"")</f>
        <v/>
      </c>
      <c r="P84" s="13" t="n">
        <f aca="false">IF(A84="","",COUNTIF(Incidencias!$B$2:$B$151,A84))</f>
        <v>0</v>
      </c>
      <c r="Q84" s="13" t="n">
        <f aca="false">IF(A84="","",COUNTIFS(Incidencias!$B$2:$B$151,A84,Incidencias!$F$2:$F$151,"Abierta"))</f>
        <v>0</v>
      </c>
      <c r="R84" s="21" t="n">
        <f aca="false">IF(L84="Sí",H84-I84,IF(A84="","",0))</f>
        <v>0</v>
      </c>
      <c r="S84" s="13" t="str">
        <f aca="false">IF(AND(J84="Entregado",F84&lt;&gt;"",G84&lt;&gt;""),IF(G84&lt;=F84,"Sí","No"),"")</f>
        <v>Sí</v>
      </c>
      <c r="T84" s="13" t="str">
        <f aca="false">IF(A84="","",IF(K84="Cliente no registrado","Cliente sin dar de alta",IF(F84="","Falta fecha prevista",IF(AND(J84="Entregado",G84=""),"Entregado sin fecha de entrega",IF(ISNA(MATCH(J84,Inicio!$Z$1:$Z$6,0)),"Estado no reconocido",IF(F84&lt;C84,"Prevista anterior al pedido",IF(AND(G84&lt;&gt;"",G84&lt;C84),"Entrega anterior al pedido","")))))))</f>
        <v/>
      </c>
      <c r="U84" s="13" t="str">
        <f aca="false">IF(L84&lt;&gt;"Sí","",IF(M84="Dato pendiente","Poner fecha prevista y avisar al cliente",IF(M84="En plazo","Seguimiento normal",IF(J84="Listo para recoger","Recordar la recogida al cliente",IF(J84="Esperando pieza","Pedir fecha al proveedor y avisar al cliente",IF(J84="En taller","Revisar con el taller","Confirmar el pedido con el proveedor"))))))</f>
        <v/>
      </c>
      <c r="V84" s="29" t="str">
        <f aca="false">IF(M84="Dato pendiente",1000+ROW()/10000,IF(M84="Fuera de plazo",N84+ROW()/10000,""))</f>
        <v/>
      </c>
      <c r="W84" s="30" t="str">
        <f aca="false">IF(T84="","",ROW())</f>
        <v/>
      </c>
    </row>
    <row r="85" customFormat="false" ht="15" hidden="false" customHeight="false" outlineLevel="0" collapsed="false">
      <c r="A85" s="13" t="s">
        <v>243</v>
      </c>
      <c r="B85" s="13" t="s">
        <v>134</v>
      </c>
      <c r="C85" s="28" t="n">
        <v>46279</v>
      </c>
      <c r="D85" s="13" t="s">
        <v>68</v>
      </c>
      <c r="E85" s="13" t="s">
        <v>227</v>
      </c>
      <c r="F85" s="28" t="n">
        <v>46286</v>
      </c>
      <c r="G85" s="28" t="n">
        <v>46286</v>
      </c>
      <c r="H85" s="21" t="n">
        <v>2184</v>
      </c>
      <c r="I85" s="21" t="n">
        <v>650</v>
      </c>
      <c r="J85" s="13" t="s">
        <v>7</v>
      </c>
      <c r="K85" s="13" t="str">
        <f aca="false">IF(A85="","",IFERROR(INDEX(Clientes!$B$2:$B$200,MATCH(B85,Clientes!$A$2:$A$200,0)),"Cliente no registrado"))</f>
        <v>Manuel Cabrera Vidal</v>
      </c>
      <c r="L85" s="13" t="str">
        <f aca="false">IF(A85="","",IF(OR(J85="Entregado",J85="Anulado"),"No","Sí"))</f>
        <v>No</v>
      </c>
      <c r="M85" s="13" t="str">
        <f aca="false">IF(A85="","",IF(J85="Entregado","Entregado",IF(J85="Anulado","Anulado",IF(F85="","Dato pendiente",IF(F85&lt;Control!$C$4,"Fuera de plazo","En plazo")))))</f>
        <v>Entregado</v>
      </c>
      <c r="N85" s="13" t="str">
        <f aca="false">IF(M85="Fuera de plazo",Control!$C$4-F85,"")</f>
        <v/>
      </c>
      <c r="O85" s="13" t="str">
        <f aca="false">IF(M85="Fuera de plazo",IF(J85="Listo para recoger","Cliente (no recoge)","Tienda o proveedor"),"")</f>
        <v/>
      </c>
      <c r="P85" s="13" t="n">
        <f aca="false">IF(A85="","",COUNTIF(Incidencias!$B$2:$B$151,A85))</f>
        <v>0</v>
      </c>
      <c r="Q85" s="13" t="n">
        <f aca="false">IF(A85="","",COUNTIFS(Incidencias!$B$2:$B$151,A85,Incidencias!$F$2:$F$151,"Abierta"))</f>
        <v>0</v>
      </c>
      <c r="R85" s="21" t="n">
        <f aca="false">IF(L85="Sí",H85-I85,IF(A85="","",0))</f>
        <v>0</v>
      </c>
      <c r="S85" s="13" t="str">
        <f aca="false">IF(AND(J85="Entregado",F85&lt;&gt;"",G85&lt;&gt;""),IF(G85&lt;=F85,"Sí","No"),"")</f>
        <v>Sí</v>
      </c>
      <c r="T85" s="13" t="str">
        <f aca="false">IF(A85="","",IF(K85="Cliente no registrado","Cliente sin dar de alta",IF(F85="","Falta fecha prevista",IF(AND(J85="Entregado",G85=""),"Entregado sin fecha de entrega",IF(ISNA(MATCH(J85,Inicio!$Z$1:$Z$6,0)),"Estado no reconocido",IF(F85&lt;C85,"Prevista anterior al pedido",IF(AND(G85&lt;&gt;"",G85&lt;C85),"Entrega anterior al pedido","")))))))</f>
        <v/>
      </c>
      <c r="U85" s="13" t="str">
        <f aca="false">IF(L85&lt;&gt;"Sí","",IF(M85="Dato pendiente","Poner fecha prevista y avisar al cliente",IF(M85="En plazo","Seguimiento normal",IF(J85="Listo para recoger","Recordar la recogida al cliente",IF(J85="Esperando pieza","Pedir fecha al proveedor y avisar al cliente",IF(J85="En taller","Revisar con el taller","Confirmar el pedido con el proveedor"))))))</f>
        <v/>
      </c>
      <c r="V85" s="29" t="str">
        <f aca="false">IF(M85="Dato pendiente",1000+ROW()/10000,IF(M85="Fuera de plazo",N85+ROW()/10000,""))</f>
        <v/>
      </c>
      <c r="W85" s="30" t="str">
        <f aca="false">IF(T85="","",ROW())</f>
        <v/>
      </c>
    </row>
    <row r="86" customFormat="false" ht="15" hidden="false" customHeight="false" outlineLevel="0" collapsed="false">
      <c r="A86" s="13" t="s">
        <v>244</v>
      </c>
      <c r="B86" s="13" t="s">
        <v>117</v>
      </c>
      <c r="C86" s="28" t="n">
        <v>46280</v>
      </c>
      <c r="D86" s="13" t="s">
        <v>69</v>
      </c>
      <c r="E86" s="13" t="s">
        <v>196</v>
      </c>
      <c r="F86" s="28" t="n">
        <v>46288</v>
      </c>
      <c r="G86" s="28" t="n">
        <v>46289</v>
      </c>
      <c r="H86" s="21" t="n">
        <v>109.9</v>
      </c>
      <c r="I86" s="21" t="n">
        <v>109.9</v>
      </c>
      <c r="J86" s="13" t="s">
        <v>7</v>
      </c>
      <c r="K86" s="13" t="str">
        <f aca="false">IF(A86="","",IFERROR(INDEX(Clientes!$B$2:$B$200,MATCH(B86,Clientes!$A$2:$A$200,0)),"Cliente no registrado"))</f>
        <v>Clínica Veterinaria Albaicín</v>
      </c>
      <c r="L86" s="13" t="str">
        <f aca="false">IF(A86="","",IF(OR(J86="Entregado",J86="Anulado"),"No","Sí"))</f>
        <v>No</v>
      </c>
      <c r="M86" s="13" t="str">
        <f aca="false">IF(A86="","",IF(J86="Entregado","Entregado",IF(J86="Anulado","Anulado",IF(F86="","Dato pendiente",IF(F86&lt;Control!$C$4,"Fuera de plazo","En plazo")))))</f>
        <v>Entregado</v>
      </c>
      <c r="N86" s="13" t="str">
        <f aca="false">IF(M86="Fuera de plazo",Control!$C$4-F86,"")</f>
        <v/>
      </c>
      <c r="O86" s="13" t="str">
        <f aca="false">IF(M86="Fuera de plazo",IF(J86="Listo para recoger","Cliente (no recoge)","Tienda o proveedor"),"")</f>
        <v/>
      </c>
      <c r="P86" s="13" t="n">
        <f aca="false">IF(A86="","",COUNTIF(Incidencias!$B$2:$B$151,A86))</f>
        <v>0</v>
      </c>
      <c r="Q86" s="13" t="n">
        <f aca="false">IF(A86="","",COUNTIFS(Incidencias!$B$2:$B$151,A86,Incidencias!$F$2:$F$151,"Abierta"))</f>
        <v>0</v>
      </c>
      <c r="R86" s="21" t="n">
        <f aca="false">IF(L86="Sí",H86-I86,IF(A86="","",0))</f>
        <v>0</v>
      </c>
      <c r="S86" s="13" t="str">
        <f aca="false">IF(AND(J86="Entregado",F86&lt;&gt;"",G86&lt;&gt;""),IF(G86&lt;=F86,"Sí","No"),"")</f>
        <v>No</v>
      </c>
      <c r="T86" s="13" t="str">
        <f aca="false">IF(A86="","",IF(K86="Cliente no registrado","Cliente sin dar de alta",IF(F86="","Falta fecha prevista",IF(AND(J86="Entregado",G86=""),"Entregado sin fecha de entrega",IF(ISNA(MATCH(J86,Inicio!$Z$1:$Z$6,0)),"Estado no reconocido",IF(F86&lt;C86,"Prevista anterior al pedido",IF(AND(G86&lt;&gt;"",G86&lt;C86),"Entrega anterior al pedido","")))))))</f>
        <v/>
      </c>
      <c r="U86" s="13" t="str">
        <f aca="false">IF(L86&lt;&gt;"Sí","",IF(M86="Dato pendiente","Poner fecha prevista y avisar al cliente",IF(M86="En plazo","Seguimiento normal",IF(J86="Listo para recoger","Recordar la recogida al cliente",IF(J86="Esperando pieza","Pedir fecha al proveedor y avisar al cliente",IF(J86="En taller","Revisar con el taller","Confirmar el pedido con el proveedor"))))))</f>
        <v/>
      </c>
      <c r="V86" s="29" t="str">
        <f aca="false">IF(M86="Dato pendiente",1000+ROW()/10000,IF(M86="Fuera de plazo",N86+ROW()/10000,""))</f>
        <v/>
      </c>
      <c r="W86" s="30" t="str">
        <f aca="false">IF(T86="","",ROW())</f>
        <v/>
      </c>
    </row>
    <row r="87" customFormat="false" ht="15" hidden="false" customHeight="false" outlineLevel="0" collapsed="false">
      <c r="A87" s="13" t="s">
        <v>245</v>
      </c>
      <c r="B87" s="13" t="s">
        <v>105</v>
      </c>
      <c r="C87" s="28" t="n">
        <v>46280</v>
      </c>
      <c r="D87" s="13" t="s">
        <v>69</v>
      </c>
      <c r="E87" s="13" t="s">
        <v>196</v>
      </c>
      <c r="F87" s="28" t="n">
        <v>46286</v>
      </c>
      <c r="G87" s="28" t="n">
        <v>46286</v>
      </c>
      <c r="H87" s="21" t="n">
        <v>109.9</v>
      </c>
      <c r="I87" s="21" t="n">
        <v>109.9</v>
      </c>
      <c r="J87" s="13" t="s">
        <v>7</v>
      </c>
      <c r="K87" s="13" t="str">
        <f aca="false">IF(A87="","",IFERROR(INDEX(Clientes!$B$2:$B$200,MATCH(B87,Clientes!$A$2:$A$200,0)),"Cliente no registrado"))</f>
        <v>Marina Torres Blanco</v>
      </c>
      <c r="L87" s="13" t="str">
        <f aca="false">IF(A87="","",IF(OR(J87="Entregado",J87="Anulado"),"No","Sí"))</f>
        <v>No</v>
      </c>
      <c r="M87" s="13" t="str">
        <f aca="false">IF(A87="","",IF(J87="Entregado","Entregado",IF(J87="Anulado","Anulado",IF(F87="","Dato pendiente",IF(F87&lt;Control!$C$4,"Fuera de plazo","En plazo")))))</f>
        <v>Entregado</v>
      </c>
      <c r="N87" s="13" t="str">
        <f aca="false">IF(M87="Fuera de plazo",Control!$C$4-F87,"")</f>
        <v/>
      </c>
      <c r="O87" s="13" t="str">
        <f aca="false">IF(M87="Fuera de plazo",IF(J87="Listo para recoger","Cliente (no recoge)","Tienda o proveedor"),"")</f>
        <v/>
      </c>
      <c r="P87" s="13" t="n">
        <f aca="false">IF(A87="","",COUNTIF(Incidencias!$B$2:$B$151,A87))</f>
        <v>0</v>
      </c>
      <c r="Q87" s="13" t="n">
        <f aca="false">IF(A87="","",COUNTIFS(Incidencias!$B$2:$B$151,A87,Incidencias!$F$2:$F$151,"Abierta"))</f>
        <v>0</v>
      </c>
      <c r="R87" s="21" t="n">
        <f aca="false">IF(L87="Sí",H87-I87,IF(A87="","",0))</f>
        <v>0</v>
      </c>
      <c r="S87" s="13" t="str">
        <f aca="false">IF(AND(J87="Entregado",F87&lt;&gt;"",G87&lt;&gt;""),IF(G87&lt;=F87,"Sí","No"),"")</f>
        <v>Sí</v>
      </c>
      <c r="T87" s="13" t="str">
        <f aca="false">IF(A87="","",IF(K87="Cliente no registrado","Cliente sin dar de alta",IF(F87="","Falta fecha prevista",IF(AND(J87="Entregado",G87=""),"Entregado sin fecha de entrega",IF(ISNA(MATCH(J87,Inicio!$Z$1:$Z$6,0)),"Estado no reconocido",IF(F87&lt;C87,"Prevista anterior al pedido",IF(AND(G87&lt;&gt;"",G87&lt;C87),"Entrega anterior al pedido","")))))))</f>
        <v/>
      </c>
      <c r="U87" s="13" t="str">
        <f aca="false">IF(L87&lt;&gt;"Sí","",IF(M87="Dato pendiente","Poner fecha prevista y avisar al cliente",IF(M87="En plazo","Seguimiento normal",IF(J87="Listo para recoger","Recordar la recogida al cliente",IF(J87="Esperando pieza","Pedir fecha al proveedor y avisar al cliente",IF(J87="En taller","Revisar con el taller","Confirmar el pedido con el proveedor"))))))</f>
        <v/>
      </c>
      <c r="V87" s="29" t="str">
        <f aca="false">IF(M87="Dato pendiente",1000+ROW()/10000,IF(M87="Fuera de plazo",N87+ROW()/10000,""))</f>
        <v/>
      </c>
      <c r="W87" s="30" t="str">
        <f aca="false">IF(T87="","",ROW())</f>
        <v/>
      </c>
    </row>
    <row r="88" customFormat="false" ht="15" hidden="false" customHeight="false" outlineLevel="0" collapsed="false">
      <c r="A88" s="13" t="s">
        <v>246</v>
      </c>
      <c r="B88" s="13" t="s">
        <v>105</v>
      </c>
      <c r="C88" s="28" t="n">
        <v>46280</v>
      </c>
      <c r="D88" s="13" t="s">
        <v>68</v>
      </c>
      <c r="E88" s="13" t="s">
        <v>171</v>
      </c>
      <c r="F88" s="28" t="n">
        <v>46286</v>
      </c>
      <c r="G88" s="28"/>
      <c r="H88" s="21" t="n">
        <v>1149</v>
      </c>
      <c r="I88" s="21" t="n">
        <v>350</v>
      </c>
      <c r="J88" s="13" t="s">
        <v>5</v>
      </c>
      <c r="K88" s="13" t="str">
        <f aca="false">IF(A88="","",IFERROR(INDEX(Clientes!$B$2:$B$200,MATCH(B88,Clientes!$A$2:$A$200,0)),"Cliente no registrado"))</f>
        <v>Marina Torres Blanco</v>
      </c>
      <c r="L88" s="13" t="str">
        <f aca="false">IF(A88="","",IF(OR(J88="Entregado",J88="Anulado"),"No","Sí"))</f>
        <v>Sí</v>
      </c>
      <c r="M88" s="13" t="str">
        <f aca="false">IF(A88="","",IF(J88="Entregado","Entregado",IF(J88="Anulado","Anulado",IF(F88="","Dato pendiente",IF(F88&lt;Control!$C$4,"Fuera de plazo","En plazo")))))</f>
        <v>Fuera de plazo</v>
      </c>
      <c r="N88" s="13" t="n">
        <f aca="false">IF(M88="Fuera de plazo",Control!$C$4-F88,"")</f>
        <v>4</v>
      </c>
      <c r="O88" s="13" t="str">
        <f aca="false">IF(M88="Fuera de plazo",IF(J88="Listo para recoger","Cliente (no recoge)","Tienda o proveedor"),"")</f>
        <v>Cliente (no recoge)</v>
      </c>
      <c r="P88" s="13" t="n">
        <f aca="false">IF(A88="","",COUNTIF(Incidencias!$B$2:$B$151,A88))</f>
        <v>0</v>
      </c>
      <c r="Q88" s="13" t="n">
        <f aca="false">IF(A88="","",COUNTIFS(Incidencias!$B$2:$B$151,A88,Incidencias!$F$2:$F$151,"Abierta"))</f>
        <v>0</v>
      </c>
      <c r="R88" s="21" t="n">
        <f aca="false">IF(L88="Sí",H88-I88,IF(A88="","",0))</f>
        <v>799</v>
      </c>
      <c r="S88" s="13" t="str">
        <f aca="false">IF(AND(J88="Entregado",F88&lt;&gt;"",G88&lt;&gt;""),IF(G88&lt;=F88,"Sí","No"),"")</f>
        <v/>
      </c>
      <c r="T88" s="13" t="str">
        <f aca="false">IF(A88="","",IF(K88="Cliente no registrado","Cliente sin dar de alta",IF(F88="","Falta fecha prevista",IF(AND(J88="Entregado",G88=""),"Entregado sin fecha de entrega",IF(ISNA(MATCH(J88,Inicio!$Z$1:$Z$6,0)),"Estado no reconocido",IF(F88&lt;C88,"Prevista anterior al pedido",IF(AND(G88&lt;&gt;"",G88&lt;C88),"Entrega anterior al pedido","")))))))</f>
        <v/>
      </c>
      <c r="U88" s="13" t="str">
        <f aca="false">IF(L88&lt;&gt;"Sí","",IF(M88="Dato pendiente","Poner fecha prevista y avisar al cliente",IF(M88="En plazo","Seguimiento normal",IF(J88="Listo para recoger","Recordar la recogida al cliente",IF(J88="Esperando pieza","Pedir fecha al proveedor y avisar al cliente",IF(J88="En taller","Revisar con el taller","Confirmar el pedido con el proveedor"))))))</f>
        <v>Recordar la recogida al cliente</v>
      </c>
      <c r="V88" s="29" t="n">
        <f aca="false">IF(M88="Dato pendiente",1000+ROW()/10000,IF(M88="Fuera de plazo",N88+ROW()/10000,""))</f>
        <v>4.0088</v>
      </c>
      <c r="W88" s="30" t="str">
        <f aca="false">IF(T88="","",ROW())</f>
        <v/>
      </c>
    </row>
    <row r="89" customFormat="false" ht="15" hidden="false" customHeight="false" outlineLevel="0" collapsed="false">
      <c r="A89" s="13" t="s">
        <v>247</v>
      </c>
      <c r="B89" s="13" t="s">
        <v>150</v>
      </c>
      <c r="C89" s="28" t="n">
        <v>46281</v>
      </c>
      <c r="D89" s="13" t="s">
        <v>67</v>
      </c>
      <c r="E89" s="13" t="s">
        <v>148</v>
      </c>
      <c r="F89" s="28" t="n">
        <v>46288</v>
      </c>
      <c r="G89" s="28"/>
      <c r="H89" s="21" t="n">
        <v>129</v>
      </c>
      <c r="I89" s="21" t="n">
        <v>0</v>
      </c>
      <c r="J89" s="13" t="s">
        <v>3</v>
      </c>
      <c r="K89" s="13" t="str">
        <f aca="false">IF(A89="","",IFERROR(INDEX(Clientes!$B$2:$B$200,MATCH(B89,Clientes!$A$2:$A$200,0)),"Cliente no registrado"))</f>
        <v>Academia Nevada Idiomas</v>
      </c>
      <c r="L89" s="13" t="str">
        <f aca="false">IF(A89="","",IF(OR(J89="Entregado",J89="Anulado"),"No","Sí"))</f>
        <v>Sí</v>
      </c>
      <c r="M89" s="13" t="str">
        <f aca="false">IF(A89="","",IF(J89="Entregado","Entregado",IF(J89="Anulado","Anulado",IF(F89="","Dato pendiente",IF(F89&lt;Control!$C$4,"Fuera de plazo","En plazo")))))</f>
        <v>Fuera de plazo</v>
      </c>
      <c r="N89" s="13" t="n">
        <f aca="false">IF(M89="Fuera de plazo",Control!$C$4-F89,"")</f>
        <v>2</v>
      </c>
      <c r="O89" s="13" t="str">
        <f aca="false">IF(M89="Fuera de plazo",IF(J89="Listo para recoger","Cliente (no recoge)","Tienda o proveedor"),"")</f>
        <v>Tienda o proveedor</v>
      </c>
      <c r="P89" s="13" t="n">
        <f aca="false">IF(A89="","",COUNTIF(Incidencias!$B$2:$B$151,A89))</f>
        <v>0</v>
      </c>
      <c r="Q89" s="13" t="n">
        <f aca="false">IF(A89="","",COUNTIFS(Incidencias!$B$2:$B$151,A89,Incidencias!$F$2:$F$151,"Abierta"))</f>
        <v>0</v>
      </c>
      <c r="R89" s="21" t="n">
        <f aca="false">IF(L89="Sí",H89-I89,IF(A89="","",0))</f>
        <v>129</v>
      </c>
      <c r="S89" s="13" t="str">
        <f aca="false">IF(AND(J89="Entregado",F89&lt;&gt;"",G89&lt;&gt;""),IF(G89&lt;=F89,"Sí","No"),"")</f>
        <v/>
      </c>
      <c r="T89" s="13" t="str">
        <f aca="false">IF(A89="","",IF(K89="Cliente no registrado","Cliente sin dar de alta",IF(F89="","Falta fecha prevista",IF(AND(J89="Entregado",G89=""),"Entregado sin fecha de entrega",IF(ISNA(MATCH(J89,Inicio!$Z$1:$Z$6,0)),"Estado no reconocido",IF(F89&lt;C89,"Prevista anterior al pedido",IF(AND(G89&lt;&gt;"",G89&lt;C89),"Entrega anterior al pedido","")))))))</f>
        <v/>
      </c>
      <c r="U89" s="13" t="str">
        <f aca="false">IF(L89&lt;&gt;"Sí","",IF(M89="Dato pendiente","Poner fecha prevista y avisar al cliente",IF(M89="En plazo","Seguimiento normal",IF(J89="Listo para recoger","Recordar la recogida al cliente",IF(J89="Esperando pieza","Pedir fecha al proveedor y avisar al cliente",IF(J89="En taller","Revisar con el taller","Confirmar el pedido con el proveedor"))))))</f>
        <v>Pedir fecha al proveedor y avisar al cliente</v>
      </c>
      <c r="V89" s="29" t="n">
        <f aca="false">IF(M89="Dato pendiente",1000+ROW()/10000,IF(M89="Fuera de plazo",N89+ROW()/10000,""))</f>
        <v>2.0089</v>
      </c>
      <c r="W89" s="30" t="str">
        <f aca="false">IF(T89="","",ROW())</f>
        <v/>
      </c>
    </row>
    <row r="90" customFormat="false" ht="15" hidden="false" customHeight="false" outlineLevel="0" collapsed="false">
      <c r="A90" s="13" t="s">
        <v>248</v>
      </c>
      <c r="B90" s="13" t="s">
        <v>157</v>
      </c>
      <c r="C90" s="28" t="n">
        <v>46282</v>
      </c>
      <c r="D90" s="13" t="s">
        <v>71</v>
      </c>
      <c r="E90" s="13" t="s">
        <v>125</v>
      </c>
      <c r="F90" s="28" t="n">
        <v>46290</v>
      </c>
      <c r="G90" s="28"/>
      <c r="H90" s="21" t="n">
        <v>219</v>
      </c>
      <c r="I90" s="21" t="n">
        <v>50</v>
      </c>
      <c r="J90" s="13" t="s">
        <v>3</v>
      </c>
      <c r="K90" s="13" t="str">
        <f aca="false">IF(A90="","",IFERROR(INDEX(Clientes!$B$2:$B$200,MATCH(B90,Clientes!$A$2:$A$200,0)),"Cliente no registrado"))</f>
        <v>Laura Medina Ortiz</v>
      </c>
      <c r="L90" s="13" t="str">
        <f aca="false">IF(A90="","",IF(OR(J90="Entregado",J90="Anulado"),"No","Sí"))</f>
        <v>Sí</v>
      </c>
      <c r="M90" s="13" t="str">
        <f aca="false">IF(A90="","",IF(J90="Entregado","Entregado",IF(J90="Anulado","Anulado",IF(F90="","Dato pendiente",IF(F90&lt;Control!$C$4,"Fuera de plazo","En plazo")))))</f>
        <v>En plazo</v>
      </c>
      <c r="N90" s="13" t="str">
        <f aca="false">IF(M90="Fuera de plazo",Control!$C$4-F90,"")</f>
        <v/>
      </c>
      <c r="O90" s="13" t="str">
        <f aca="false">IF(M90="Fuera de plazo",IF(J90="Listo para recoger","Cliente (no recoge)","Tienda o proveedor"),"")</f>
        <v/>
      </c>
      <c r="P90" s="13" t="n">
        <f aca="false">IF(A90="","",COUNTIF(Incidencias!$B$2:$B$151,A90))</f>
        <v>1</v>
      </c>
      <c r="Q90" s="13" t="n">
        <f aca="false">IF(A90="","",COUNTIFS(Incidencias!$B$2:$B$151,A90,Incidencias!$F$2:$F$151,"Abierta"))</f>
        <v>1</v>
      </c>
      <c r="R90" s="21" t="n">
        <f aca="false">IF(L90="Sí",H90-I90,IF(A90="","",0))</f>
        <v>169</v>
      </c>
      <c r="S90" s="13" t="str">
        <f aca="false">IF(AND(J90="Entregado",F90&lt;&gt;"",G90&lt;&gt;""),IF(G90&lt;=F90,"Sí","No"),"")</f>
        <v/>
      </c>
      <c r="T90" s="13" t="str">
        <f aca="false">IF(A90="","",IF(K90="Cliente no registrado","Cliente sin dar de alta",IF(F90="","Falta fecha prevista",IF(AND(J90="Entregado",G90=""),"Entregado sin fecha de entrega",IF(ISNA(MATCH(J90,Inicio!$Z$1:$Z$6,0)),"Estado no reconocido",IF(F90&lt;C90,"Prevista anterior al pedido",IF(AND(G90&lt;&gt;"",G90&lt;C90),"Entrega anterior al pedido","")))))))</f>
        <v/>
      </c>
      <c r="U90" s="13" t="str">
        <f aca="false">IF(L90&lt;&gt;"Sí","",IF(M90="Dato pendiente","Poner fecha prevista y avisar al cliente",IF(M90="En plazo","Seguimiento normal",IF(J90="Listo para recoger","Recordar la recogida al cliente",IF(J90="Esperando pieza","Pedir fecha al proveedor y avisar al cliente",IF(J90="En taller","Revisar con el taller","Confirmar el pedido con el proveedor"))))))</f>
        <v>Seguimiento normal</v>
      </c>
      <c r="V90" s="29" t="str">
        <f aca="false">IF(M90="Dato pendiente",1000+ROW()/10000,IF(M90="Fuera de plazo",N90+ROW()/10000,""))</f>
        <v/>
      </c>
      <c r="W90" s="30" t="str">
        <f aca="false">IF(T90="","",ROW())</f>
        <v/>
      </c>
    </row>
    <row r="91" customFormat="false" ht="15" hidden="false" customHeight="false" outlineLevel="0" collapsed="false">
      <c r="A91" s="13" t="s">
        <v>249</v>
      </c>
      <c r="B91" s="13" t="s">
        <v>150</v>
      </c>
      <c r="C91" s="28" t="n">
        <v>46283</v>
      </c>
      <c r="D91" s="13" t="s">
        <v>67</v>
      </c>
      <c r="E91" s="13" t="s">
        <v>230</v>
      </c>
      <c r="F91" s="28"/>
      <c r="G91" s="28"/>
      <c r="H91" s="21" t="n">
        <v>49.9</v>
      </c>
      <c r="I91" s="21" t="n">
        <v>0</v>
      </c>
      <c r="J91" s="13" t="s">
        <v>2</v>
      </c>
      <c r="K91" s="13" t="str">
        <f aca="false">IF(A91="","",IFERROR(INDEX(Clientes!$B$2:$B$200,MATCH(B91,Clientes!$A$2:$A$200,0)),"Cliente no registrado"))</f>
        <v>Academia Nevada Idiomas</v>
      </c>
      <c r="L91" s="13" t="str">
        <f aca="false">IF(A91="","",IF(OR(J91="Entregado",J91="Anulado"),"No","Sí"))</f>
        <v>Sí</v>
      </c>
      <c r="M91" s="13" t="str">
        <f aca="false">IF(A91="","",IF(J91="Entregado","Entregado",IF(J91="Anulado","Anulado",IF(F91="","Dato pendiente",IF(F91&lt;Control!$C$4,"Fuera de plazo","En plazo")))))</f>
        <v>Dato pendiente</v>
      </c>
      <c r="N91" s="13" t="str">
        <f aca="false">IF(M91="Fuera de plazo",Control!$C$4-F91,"")</f>
        <v/>
      </c>
      <c r="O91" s="13" t="str">
        <f aca="false">IF(M91="Fuera de plazo",IF(J91="Listo para recoger","Cliente (no recoge)","Tienda o proveedor"),"")</f>
        <v/>
      </c>
      <c r="P91" s="13" t="n">
        <f aca="false">IF(A91="","",COUNTIF(Incidencias!$B$2:$B$151,A91))</f>
        <v>0</v>
      </c>
      <c r="Q91" s="13" t="n">
        <f aca="false">IF(A91="","",COUNTIFS(Incidencias!$B$2:$B$151,A91,Incidencias!$F$2:$F$151,"Abierta"))</f>
        <v>0</v>
      </c>
      <c r="R91" s="21" t="n">
        <f aca="false">IF(L91="Sí",H91-I91,IF(A91="","",0))</f>
        <v>49.9</v>
      </c>
      <c r="S91" s="13" t="str">
        <f aca="false">IF(AND(J91="Entregado",F91&lt;&gt;"",G91&lt;&gt;""),IF(G91&lt;=F91,"Sí","No"),"")</f>
        <v/>
      </c>
      <c r="T91" s="13" t="str">
        <f aca="false">IF(A91="","",IF(K91="Cliente no registrado","Cliente sin dar de alta",IF(F91="","Falta fecha prevista",IF(AND(J91="Entregado",G91=""),"Entregado sin fecha de entrega",IF(ISNA(MATCH(J91,Inicio!$Z$1:$Z$6,0)),"Estado no reconocido",IF(F91&lt;C91,"Prevista anterior al pedido",IF(AND(G91&lt;&gt;"",G91&lt;C91),"Entrega anterior al pedido","")))))))</f>
        <v>Falta fecha prevista</v>
      </c>
      <c r="U91" s="13" t="str">
        <f aca="false">IF(L91&lt;&gt;"Sí","",IF(M91="Dato pendiente","Poner fecha prevista y avisar al cliente",IF(M91="En plazo","Seguimiento normal",IF(J91="Listo para recoger","Recordar la recogida al cliente",IF(J91="Esperando pieza","Pedir fecha al proveedor y avisar al cliente",IF(J91="En taller","Revisar con el taller","Confirmar el pedido con el proveedor"))))))</f>
        <v>Poner fecha prevista y avisar al cliente</v>
      </c>
      <c r="V91" s="29" t="n">
        <f aca="false">IF(M91="Dato pendiente",1000+ROW()/10000,IF(M91="Fuera de plazo",N91+ROW()/10000,""))</f>
        <v>1000.0091</v>
      </c>
      <c r="W91" s="30" t="n">
        <f aca="false">IF(T91="","",ROW())</f>
        <v>91</v>
      </c>
    </row>
    <row r="92" customFormat="false" ht="15" hidden="false" customHeight="false" outlineLevel="0" collapsed="false">
      <c r="A92" s="13" t="s">
        <v>250</v>
      </c>
      <c r="B92" s="13" t="s">
        <v>128</v>
      </c>
      <c r="C92" s="28" t="n">
        <v>46283</v>
      </c>
      <c r="D92" s="13" t="s">
        <v>67</v>
      </c>
      <c r="E92" s="13" t="s">
        <v>184</v>
      </c>
      <c r="F92" s="28"/>
      <c r="G92" s="28"/>
      <c r="H92" s="21" t="n">
        <v>59.9</v>
      </c>
      <c r="I92" s="21" t="n">
        <v>0</v>
      </c>
      <c r="J92" s="13" t="s">
        <v>2</v>
      </c>
      <c r="K92" s="13" t="str">
        <f aca="false">IF(A92="","",IFERROR(INDEX(Clientes!$B$2:$B$200,MATCH(B92,Clientes!$A$2:$A$200,0)),"Cliente no registrado"))</f>
        <v>Andrea Castillo Pérez</v>
      </c>
      <c r="L92" s="13" t="str">
        <f aca="false">IF(A92="","",IF(OR(J92="Entregado",J92="Anulado"),"No","Sí"))</f>
        <v>Sí</v>
      </c>
      <c r="M92" s="13" t="str">
        <f aca="false">IF(A92="","",IF(J92="Entregado","Entregado",IF(J92="Anulado","Anulado",IF(F92="","Dato pendiente",IF(F92&lt;Control!$C$4,"Fuera de plazo","En plazo")))))</f>
        <v>Dato pendiente</v>
      </c>
      <c r="N92" s="13" t="str">
        <f aca="false">IF(M92="Fuera de plazo",Control!$C$4-F92,"")</f>
        <v/>
      </c>
      <c r="O92" s="13" t="str">
        <f aca="false">IF(M92="Fuera de plazo",IF(J92="Listo para recoger","Cliente (no recoge)","Tienda o proveedor"),"")</f>
        <v/>
      </c>
      <c r="P92" s="13" t="n">
        <f aca="false">IF(A92="","",COUNTIF(Incidencias!$B$2:$B$151,A92))</f>
        <v>0</v>
      </c>
      <c r="Q92" s="13" t="n">
        <f aca="false">IF(A92="","",COUNTIFS(Incidencias!$B$2:$B$151,A92,Incidencias!$F$2:$F$151,"Abierta"))</f>
        <v>0</v>
      </c>
      <c r="R92" s="21" t="n">
        <f aca="false">IF(L92="Sí",H92-I92,IF(A92="","",0))</f>
        <v>59.9</v>
      </c>
      <c r="S92" s="13" t="str">
        <f aca="false">IF(AND(J92="Entregado",F92&lt;&gt;"",G92&lt;&gt;""),IF(G92&lt;=F92,"Sí","No"),"")</f>
        <v/>
      </c>
      <c r="T92" s="13" t="str">
        <f aca="false">IF(A92="","",IF(K92="Cliente no registrado","Cliente sin dar de alta",IF(F92="","Falta fecha prevista",IF(AND(J92="Entregado",G92=""),"Entregado sin fecha de entrega",IF(ISNA(MATCH(J92,Inicio!$Z$1:$Z$6,0)),"Estado no reconocido",IF(F92&lt;C92,"Prevista anterior al pedido",IF(AND(G92&lt;&gt;"",G92&lt;C92),"Entrega anterior al pedido","")))))))</f>
        <v>Falta fecha prevista</v>
      </c>
      <c r="U92" s="13" t="str">
        <f aca="false">IF(L92&lt;&gt;"Sí","",IF(M92="Dato pendiente","Poner fecha prevista y avisar al cliente",IF(M92="En plazo","Seguimiento normal",IF(J92="Listo para recoger","Recordar la recogida al cliente",IF(J92="Esperando pieza","Pedir fecha al proveedor y avisar al cliente",IF(J92="En taller","Revisar con el taller","Confirmar el pedido con el proveedor"))))))</f>
        <v>Poner fecha prevista y avisar al cliente</v>
      </c>
      <c r="V92" s="29" t="n">
        <f aca="false">IF(M92="Dato pendiente",1000+ROW()/10000,IF(M92="Fuera de plazo",N92+ROW()/10000,""))</f>
        <v>1000.0092</v>
      </c>
      <c r="W92" s="30" t="n">
        <f aca="false">IF(T92="","",ROW())</f>
        <v>92</v>
      </c>
    </row>
    <row r="93" customFormat="false" ht="15" hidden="false" customHeight="false" outlineLevel="0" collapsed="false">
      <c r="A93" s="13" t="s">
        <v>251</v>
      </c>
      <c r="B93" s="13" t="s">
        <v>131</v>
      </c>
      <c r="C93" s="28" t="n">
        <v>46286</v>
      </c>
      <c r="D93" s="13" t="s">
        <v>72</v>
      </c>
      <c r="E93" s="13" t="s">
        <v>178</v>
      </c>
      <c r="F93" s="28" t="n">
        <v>46293</v>
      </c>
      <c r="G93" s="28"/>
      <c r="H93" s="21" t="n">
        <v>129.9</v>
      </c>
      <c r="I93" s="21" t="n">
        <v>0</v>
      </c>
      <c r="J93" s="13" t="s">
        <v>3</v>
      </c>
      <c r="K93" s="13" t="str">
        <f aca="false">IF(A93="","",IFERROR(INDEX(Clientes!$B$2:$B$200,MATCH(B93,Clientes!$A$2:$A$200,0)),"Cliente no registrado"))</f>
        <v>Sergio Domínguez Rey</v>
      </c>
      <c r="L93" s="13" t="str">
        <f aca="false">IF(A93="","",IF(OR(J93="Entregado",J93="Anulado"),"No","Sí"))</f>
        <v>Sí</v>
      </c>
      <c r="M93" s="13" t="str">
        <f aca="false">IF(A93="","",IF(J93="Entregado","Entregado",IF(J93="Anulado","Anulado",IF(F93="","Dato pendiente",IF(F93&lt;Control!$C$4,"Fuera de plazo","En plazo")))))</f>
        <v>En plazo</v>
      </c>
      <c r="N93" s="13" t="str">
        <f aca="false">IF(M93="Fuera de plazo",Control!$C$4-F93,"")</f>
        <v/>
      </c>
      <c r="O93" s="13" t="str">
        <f aca="false">IF(M93="Fuera de plazo",IF(J93="Listo para recoger","Cliente (no recoge)","Tienda o proveedor"),"")</f>
        <v/>
      </c>
      <c r="P93" s="13" t="n">
        <f aca="false">IF(A93="","",COUNTIF(Incidencias!$B$2:$B$151,A93))</f>
        <v>0</v>
      </c>
      <c r="Q93" s="13" t="n">
        <f aca="false">IF(A93="","",COUNTIFS(Incidencias!$B$2:$B$151,A93,Incidencias!$F$2:$F$151,"Abierta"))</f>
        <v>0</v>
      </c>
      <c r="R93" s="21" t="n">
        <f aca="false">IF(L93="Sí",H93-I93,IF(A93="","",0))</f>
        <v>129.9</v>
      </c>
      <c r="S93" s="13" t="str">
        <f aca="false">IF(AND(J93="Entregado",F93&lt;&gt;"",G93&lt;&gt;""),IF(G93&lt;=F93,"Sí","No"),"")</f>
        <v/>
      </c>
      <c r="T93" s="13" t="str">
        <f aca="false">IF(A93="","",IF(K93="Cliente no registrado","Cliente sin dar de alta",IF(F93="","Falta fecha prevista",IF(AND(J93="Entregado",G93=""),"Entregado sin fecha de entrega",IF(ISNA(MATCH(J93,Inicio!$Z$1:$Z$6,0)),"Estado no reconocido",IF(F93&lt;C93,"Prevista anterior al pedido",IF(AND(G93&lt;&gt;"",G93&lt;C93),"Entrega anterior al pedido","")))))))</f>
        <v/>
      </c>
      <c r="U93" s="13" t="str">
        <f aca="false">IF(L93&lt;&gt;"Sí","",IF(M93="Dato pendiente","Poner fecha prevista y avisar al cliente",IF(M93="En plazo","Seguimiento normal",IF(J93="Listo para recoger","Recordar la recogida al cliente",IF(J93="Esperando pieza","Pedir fecha al proveedor y avisar al cliente",IF(J93="En taller","Revisar con el taller","Confirmar el pedido con el proveedor"))))))</f>
        <v>Seguimiento normal</v>
      </c>
      <c r="V93" s="29" t="str">
        <f aca="false">IF(M93="Dato pendiente",1000+ROW()/10000,IF(M93="Fuera de plazo",N93+ROW()/10000,""))</f>
        <v/>
      </c>
      <c r="W93" s="30" t="str">
        <f aca="false">IF(T93="","",ROW())</f>
        <v/>
      </c>
    </row>
    <row r="94" customFormat="false" ht="15" hidden="false" customHeight="false" outlineLevel="0" collapsed="false">
      <c r="A94" s="13" t="s">
        <v>252</v>
      </c>
      <c r="B94" s="13" t="s">
        <v>164</v>
      </c>
      <c r="C94" s="28" t="n">
        <v>46287</v>
      </c>
      <c r="D94" s="13" t="s">
        <v>70</v>
      </c>
      <c r="E94" s="13" t="s">
        <v>151</v>
      </c>
      <c r="F94" s="28" t="n">
        <v>46293</v>
      </c>
      <c r="G94" s="28"/>
      <c r="H94" s="21" t="n">
        <v>999</v>
      </c>
      <c r="I94" s="21" t="n">
        <v>999</v>
      </c>
      <c r="J94" s="13" t="s">
        <v>0</v>
      </c>
      <c r="K94" s="13" t="str">
        <f aca="false">IF(A94="","",IFERROR(INDEX(Clientes!$B$2:$B$200,MATCH(B94,Clientes!$A$2:$A$200,0)),"Cliente no registrado"))</f>
        <v>Hugo Martín Serrano</v>
      </c>
      <c r="L94" s="13" t="str">
        <f aca="false">IF(A94="","",IF(OR(J94="Entregado",J94="Anulado"),"No","Sí"))</f>
        <v>Sí</v>
      </c>
      <c r="M94" s="13" t="str">
        <f aca="false">IF(A94="","",IF(J94="Entregado","Entregado",IF(J94="Anulado","Anulado",IF(F94="","Dato pendiente",IF(F94&lt;Control!$C$4,"Fuera de plazo","En plazo")))))</f>
        <v>En plazo</v>
      </c>
      <c r="N94" s="13" t="str">
        <f aca="false">IF(M94="Fuera de plazo",Control!$C$4-F94,"")</f>
        <v/>
      </c>
      <c r="O94" s="13" t="str">
        <f aca="false">IF(M94="Fuera de plazo",IF(J94="Listo para recoger","Cliente (no recoge)","Tienda o proveedor"),"")</f>
        <v/>
      </c>
      <c r="P94" s="13" t="n">
        <f aca="false">IF(A94="","",COUNTIF(Incidencias!$B$2:$B$151,A94))</f>
        <v>0</v>
      </c>
      <c r="Q94" s="13" t="n">
        <f aca="false">IF(A94="","",COUNTIFS(Incidencias!$B$2:$B$151,A94,Incidencias!$F$2:$F$151,"Abierta"))</f>
        <v>0</v>
      </c>
      <c r="R94" s="21" t="n">
        <f aca="false">IF(L94="Sí",H94-I94,IF(A94="","",0))</f>
        <v>0</v>
      </c>
      <c r="S94" s="13" t="str">
        <f aca="false">IF(AND(J94="Entregado",F94&lt;&gt;"",G94&lt;&gt;""),IF(G94&lt;=F94,"Sí","No"),"")</f>
        <v/>
      </c>
      <c r="T94" s="13" t="str">
        <f aca="false">IF(A94="","",IF(K94="Cliente no registrado","Cliente sin dar de alta",IF(F94="","Falta fecha prevista",IF(AND(J94="Entregado",G94=""),"Entregado sin fecha de entrega",IF(ISNA(MATCH(J94,Inicio!$Z$1:$Z$6,0)),"Estado no reconocido",IF(F94&lt;C94,"Prevista anterior al pedido",IF(AND(G94&lt;&gt;"",G94&lt;C94),"Entrega anterior al pedido","")))))))</f>
        <v/>
      </c>
      <c r="U94" s="13" t="str">
        <f aca="false">IF(L94&lt;&gt;"Sí","",IF(M94="Dato pendiente","Poner fecha prevista y avisar al cliente",IF(M94="En plazo","Seguimiento normal",IF(J94="Listo para recoger","Recordar la recogida al cliente",IF(J94="Esperando pieza","Pedir fecha al proveedor y avisar al cliente",IF(J94="En taller","Revisar con el taller","Confirmar el pedido con el proveedor"))))))</f>
        <v>Seguimiento normal</v>
      </c>
      <c r="V94" s="29" t="str">
        <f aca="false">IF(M94="Dato pendiente",1000+ROW()/10000,IF(M94="Fuera de plazo",N94+ROW()/10000,""))</f>
        <v/>
      </c>
      <c r="W94" s="30" t="str">
        <f aca="false">IF(T94="","",ROW())</f>
        <v/>
      </c>
    </row>
    <row r="95" customFormat="false" ht="15" hidden="false" customHeight="false" outlineLevel="0" collapsed="false">
      <c r="A95" s="13" t="s">
        <v>253</v>
      </c>
      <c r="B95" s="13" t="s">
        <v>131</v>
      </c>
      <c r="C95" s="28" t="n">
        <v>46287</v>
      </c>
      <c r="D95" s="13" t="s">
        <v>72</v>
      </c>
      <c r="E95" s="13" t="s">
        <v>254</v>
      </c>
      <c r="F95" s="28" t="n">
        <v>46293</v>
      </c>
      <c r="G95" s="28"/>
      <c r="H95" s="21" t="n">
        <v>49.9</v>
      </c>
      <c r="I95" s="21" t="n">
        <v>0</v>
      </c>
      <c r="J95" s="13" t="s">
        <v>0</v>
      </c>
      <c r="K95" s="13" t="str">
        <f aca="false">IF(A95="","",IFERROR(INDEX(Clientes!$B$2:$B$200,MATCH(B95,Clientes!$A$2:$A$200,0)),"Cliente no registrado"))</f>
        <v>Sergio Domínguez Rey</v>
      </c>
      <c r="L95" s="13" t="str">
        <f aca="false">IF(A95="","",IF(OR(J95="Entregado",J95="Anulado"),"No","Sí"))</f>
        <v>Sí</v>
      </c>
      <c r="M95" s="13" t="str">
        <f aca="false">IF(A95="","",IF(J95="Entregado","Entregado",IF(J95="Anulado","Anulado",IF(F95="","Dato pendiente",IF(F95&lt;Control!$C$4,"Fuera de plazo","En plazo")))))</f>
        <v>En plazo</v>
      </c>
      <c r="N95" s="13" t="str">
        <f aca="false">IF(M95="Fuera de plazo",Control!$C$4-F95,"")</f>
        <v/>
      </c>
      <c r="O95" s="13" t="str">
        <f aca="false">IF(M95="Fuera de plazo",IF(J95="Listo para recoger","Cliente (no recoge)","Tienda o proveedor"),"")</f>
        <v/>
      </c>
      <c r="P95" s="13" t="n">
        <f aca="false">IF(A95="","",COUNTIF(Incidencias!$B$2:$B$151,A95))</f>
        <v>0</v>
      </c>
      <c r="Q95" s="13" t="n">
        <f aca="false">IF(A95="","",COUNTIFS(Incidencias!$B$2:$B$151,A95,Incidencias!$F$2:$F$151,"Abierta"))</f>
        <v>0</v>
      </c>
      <c r="R95" s="21" t="n">
        <f aca="false">IF(L95="Sí",H95-I95,IF(A95="","",0))</f>
        <v>49.9</v>
      </c>
      <c r="S95" s="13" t="str">
        <f aca="false">IF(AND(J95="Entregado",F95&lt;&gt;"",G95&lt;&gt;""),IF(G95&lt;=F95,"Sí","No"),"")</f>
        <v/>
      </c>
      <c r="T95" s="13" t="str">
        <f aca="false">IF(A95="","",IF(K95="Cliente no registrado","Cliente sin dar de alta",IF(F95="","Falta fecha prevista",IF(AND(J95="Entregado",G95=""),"Entregado sin fecha de entrega",IF(ISNA(MATCH(J95,Inicio!$Z$1:$Z$6,0)),"Estado no reconocido",IF(F95&lt;C95,"Prevista anterior al pedido",IF(AND(G95&lt;&gt;"",G95&lt;C95),"Entrega anterior al pedido","")))))))</f>
        <v/>
      </c>
      <c r="U95" s="13" t="str">
        <f aca="false">IF(L95&lt;&gt;"Sí","",IF(M95="Dato pendiente","Poner fecha prevista y avisar al cliente",IF(M95="En plazo","Seguimiento normal",IF(J95="Listo para recoger","Recordar la recogida al cliente",IF(J95="Esperando pieza","Pedir fecha al proveedor y avisar al cliente",IF(J95="En taller","Revisar con el taller","Confirmar el pedido con el proveedor"))))))</f>
        <v>Seguimiento normal</v>
      </c>
      <c r="V95" s="29" t="str">
        <f aca="false">IF(M95="Dato pendiente",1000+ROW()/10000,IF(M95="Fuera de plazo",N95+ROW()/10000,""))</f>
        <v/>
      </c>
      <c r="W95" s="30" t="str">
        <f aca="false">IF(T95="","",ROW())</f>
        <v/>
      </c>
    </row>
    <row r="96" customFormat="false" ht="15" hidden="false" customHeight="false" outlineLevel="0" collapsed="false">
      <c r="A96" s="13" t="s">
        <v>255</v>
      </c>
      <c r="B96" s="13" t="s">
        <v>114</v>
      </c>
      <c r="C96" s="28" t="n">
        <v>46287</v>
      </c>
      <c r="D96" s="13" t="s">
        <v>72</v>
      </c>
      <c r="E96" s="13" t="s">
        <v>129</v>
      </c>
      <c r="F96" s="28" t="n">
        <v>46293</v>
      </c>
      <c r="G96" s="28"/>
      <c r="H96" s="21" t="n">
        <v>258</v>
      </c>
      <c r="I96" s="21" t="n">
        <v>0</v>
      </c>
      <c r="J96" s="13" t="s">
        <v>0</v>
      </c>
      <c r="K96" s="13" t="str">
        <f aca="false">IF(A96="","",IFERROR(INDEX(Clientes!$B$2:$B$200,MATCH(B96,Clientes!$A$2:$A$200,0)),"Cliente no registrado"))</f>
        <v>Daniel Romero Gil</v>
      </c>
      <c r="L96" s="13" t="str">
        <f aca="false">IF(A96="","",IF(OR(J96="Entregado",J96="Anulado"),"No","Sí"))</f>
        <v>Sí</v>
      </c>
      <c r="M96" s="13" t="str">
        <f aca="false">IF(A96="","",IF(J96="Entregado","Entregado",IF(J96="Anulado","Anulado",IF(F96="","Dato pendiente",IF(F96&lt;Control!$C$4,"Fuera de plazo","En plazo")))))</f>
        <v>En plazo</v>
      </c>
      <c r="N96" s="13" t="str">
        <f aca="false">IF(M96="Fuera de plazo",Control!$C$4-F96,"")</f>
        <v/>
      </c>
      <c r="O96" s="13" t="str">
        <f aca="false">IF(M96="Fuera de plazo",IF(J96="Listo para recoger","Cliente (no recoge)","Tienda o proveedor"),"")</f>
        <v/>
      </c>
      <c r="P96" s="13" t="n">
        <f aca="false">IF(A96="","",COUNTIF(Incidencias!$B$2:$B$151,A96))</f>
        <v>0</v>
      </c>
      <c r="Q96" s="13" t="n">
        <f aca="false">IF(A96="","",COUNTIFS(Incidencias!$B$2:$B$151,A96,Incidencias!$F$2:$F$151,"Abierta"))</f>
        <v>0</v>
      </c>
      <c r="R96" s="21" t="n">
        <f aca="false">IF(L96="Sí",H96-I96,IF(A96="","",0))</f>
        <v>258</v>
      </c>
      <c r="S96" s="13" t="str">
        <f aca="false">IF(AND(J96="Entregado",F96&lt;&gt;"",G96&lt;&gt;""),IF(G96&lt;=F96,"Sí","No"),"")</f>
        <v/>
      </c>
      <c r="T96" s="13" t="str">
        <f aca="false">IF(A96="","",IF(K96="Cliente no registrado","Cliente sin dar de alta",IF(F96="","Falta fecha prevista",IF(AND(J96="Entregado",G96=""),"Entregado sin fecha de entrega",IF(ISNA(MATCH(J96,Inicio!$Z$1:$Z$6,0)),"Estado no reconocido",IF(F96&lt;C96,"Prevista anterior al pedido",IF(AND(G96&lt;&gt;"",G96&lt;C96),"Entrega anterior al pedido","")))))))</f>
        <v/>
      </c>
      <c r="U96" s="13" t="str">
        <f aca="false">IF(L96&lt;&gt;"Sí","",IF(M96="Dato pendiente","Poner fecha prevista y avisar al cliente",IF(M96="En plazo","Seguimiento normal",IF(J96="Listo para recoger","Recordar la recogida al cliente",IF(J96="Esperando pieza","Pedir fecha al proveedor y avisar al cliente",IF(J96="En taller","Revisar con el taller","Confirmar el pedido con el proveedor"))))))</f>
        <v>Seguimiento normal</v>
      </c>
      <c r="V96" s="29" t="str">
        <f aca="false">IF(M96="Dato pendiente",1000+ROW()/10000,IF(M96="Fuera de plazo",N96+ROW()/10000,""))</f>
        <v/>
      </c>
      <c r="W96" s="30" t="str">
        <f aca="false">IF(T96="","",ROW())</f>
        <v/>
      </c>
    </row>
    <row r="97" customFormat="false" ht="15" hidden="false" customHeight="false" outlineLevel="0" collapsed="false">
      <c r="A97" s="13" t="s">
        <v>256</v>
      </c>
      <c r="B97" s="13" t="s">
        <v>108</v>
      </c>
      <c r="C97" s="28" t="n">
        <v>46288</v>
      </c>
      <c r="D97" s="13" t="s">
        <v>69</v>
      </c>
      <c r="E97" s="13" t="s">
        <v>109</v>
      </c>
      <c r="F97" s="28" t="n">
        <v>46298</v>
      </c>
      <c r="G97" s="28"/>
      <c r="H97" s="21" t="n">
        <v>249</v>
      </c>
      <c r="I97" s="21" t="n">
        <v>50</v>
      </c>
      <c r="J97" s="13" t="s">
        <v>3</v>
      </c>
      <c r="K97" s="13" t="str">
        <f aca="false">IF(A97="","",IFERROR(INDEX(Clientes!$B$2:$B$200,MATCH(B97,Clientes!$A$2:$A$200,0)),"Cliente no registrado"))</f>
        <v>Raúl Herrero Campos</v>
      </c>
      <c r="L97" s="13" t="str">
        <f aca="false">IF(A97="","",IF(OR(J97="Entregado",J97="Anulado"),"No","Sí"))</f>
        <v>Sí</v>
      </c>
      <c r="M97" s="13" t="str">
        <f aca="false">IF(A97="","",IF(J97="Entregado","Entregado",IF(J97="Anulado","Anulado",IF(F97="","Dato pendiente",IF(F97&lt;Control!$C$4,"Fuera de plazo","En plazo")))))</f>
        <v>En plazo</v>
      </c>
      <c r="N97" s="13" t="str">
        <f aca="false">IF(M97="Fuera de plazo",Control!$C$4-F97,"")</f>
        <v/>
      </c>
      <c r="O97" s="13" t="str">
        <f aca="false">IF(M97="Fuera de plazo",IF(J97="Listo para recoger","Cliente (no recoge)","Tienda o proveedor"),"")</f>
        <v/>
      </c>
      <c r="P97" s="13" t="n">
        <f aca="false">IF(A97="","",COUNTIF(Incidencias!$B$2:$B$151,A97))</f>
        <v>1</v>
      </c>
      <c r="Q97" s="13" t="n">
        <f aca="false">IF(A97="","",COUNTIFS(Incidencias!$B$2:$B$151,A97,Incidencias!$F$2:$F$151,"Abierta"))</f>
        <v>1</v>
      </c>
      <c r="R97" s="21" t="n">
        <f aca="false">IF(L97="Sí",H97-I97,IF(A97="","",0))</f>
        <v>199</v>
      </c>
      <c r="S97" s="13" t="str">
        <f aca="false">IF(AND(J97="Entregado",F97&lt;&gt;"",G97&lt;&gt;""),IF(G97&lt;=F97,"Sí","No"),"")</f>
        <v/>
      </c>
      <c r="T97" s="13" t="str">
        <f aca="false">IF(A97="","",IF(K97="Cliente no registrado","Cliente sin dar de alta",IF(F97="","Falta fecha prevista",IF(AND(J97="Entregado",G97=""),"Entregado sin fecha de entrega",IF(ISNA(MATCH(J97,Inicio!$Z$1:$Z$6,0)),"Estado no reconocido",IF(F97&lt;C97,"Prevista anterior al pedido",IF(AND(G97&lt;&gt;"",G97&lt;C97),"Entrega anterior al pedido","")))))))</f>
        <v/>
      </c>
      <c r="U97" s="13" t="str">
        <f aca="false">IF(L97&lt;&gt;"Sí","",IF(M97="Dato pendiente","Poner fecha prevista y avisar al cliente",IF(M97="En plazo","Seguimiento normal",IF(J97="Listo para recoger","Recordar la recogida al cliente",IF(J97="Esperando pieza","Pedir fecha al proveedor y avisar al cliente",IF(J97="En taller","Revisar con el taller","Confirmar el pedido con el proveedor"))))))</f>
        <v>Seguimiento normal</v>
      </c>
      <c r="V97" s="29" t="str">
        <f aca="false">IF(M97="Dato pendiente",1000+ROW()/10000,IF(M97="Fuera de plazo",N97+ROW()/10000,""))</f>
        <v/>
      </c>
      <c r="W97" s="30" t="str">
        <f aca="false">IF(T97="","",ROW())</f>
        <v/>
      </c>
    </row>
    <row r="98" customFormat="false" ht="15" hidden="false" customHeight="false" outlineLevel="0" collapsed="false">
      <c r="A98" s="13" t="s">
        <v>257</v>
      </c>
      <c r="B98" s="13" t="s">
        <v>150</v>
      </c>
      <c r="C98" s="28" t="n">
        <v>46288</v>
      </c>
      <c r="D98" s="13" t="s">
        <v>69</v>
      </c>
      <c r="E98" s="13" t="s">
        <v>236</v>
      </c>
      <c r="F98" s="28" t="n">
        <v>46294</v>
      </c>
      <c r="G98" s="28"/>
      <c r="H98" s="21" t="n">
        <v>99.9</v>
      </c>
      <c r="I98" s="21" t="n">
        <v>50</v>
      </c>
      <c r="J98" s="13" t="s">
        <v>3</v>
      </c>
      <c r="K98" s="13" t="str">
        <f aca="false">IF(A98="","",IFERROR(INDEX(Clientes!$B$2:$B$200,MATCH(B98,Clientes!$A$2:$A$200,0)),"Cliente no registrado"))</f>
        <v>Academia Nevada Idiomas</v>
      </c>
      <c r="L98" s="13" t="str">
        <f aca="false">IF(A98="","",IF(OR(J98="Entregado",J98="Anulado"),"No","Sí"))</f>
        <v>Sí</v>
      </c>
      <c r="M98" s="13" t="str">
        <f aca="false">IF(A98="","",IF(J98="Entregado","Entregado",IF(J98="Anulado","Anulado",IF(F98="","Dato pendiente",IF(F98&lt;Control!$C$4,"Fuera de plazo","En plazo")))))</f>
        <v>En plazo</v>
      </c>
      <c r="N98" s="13" t="str">
        <f aca="false">IF(M98="Fuera de plazo",Control!$C$4-F98,"")</f>
        <v/>
      </c>
      <c r="O98" s="13" t="str">
        <f aca="false">IF(M98="Fuera de plazo",IF(J98="Listo para recoger","Cliente (no recoge)","Tienda o proveedor"),"")</f>
        <v/>
      </c>
      <c r="P98" s="13" t="n">
        <f aca="false">IF(A98="","",COUNTIF(Incidencias!$B$2:$B$151,A98))</f>
        <v>1</v>
      </c>
      <c r="Q98" s="13" t="n">
        <f aca="false">IF(A98="","",COUNTIFS(Incidencias!$B$2:$B$151,A98,Incidencias!$F$2:$F$151,"Abierta"))</f>
        <v>1</v>
      </c>
      <c r="R98" s="21" t="n">
        <f aca="false">IF(L98="Sí",H98-I98,IF(A98="","",0))</f>
        <v>49.9</v>
      </c>
      <c r="S98" s="13" t="str">
        <f aca="false">IF(AND(J98="Entregado",F98&lt;&gt;"",G98&lt;&gt;""),IF(G98&lt;=F98,"Sí","No"),"")</f>
        <v/>
      </c>
      <c r="T98" s="13" t="str">
        <f aca="false">IF(A98="","",IF(K98="Cliente no registrado","Cliente sin dar de alta",IF(F98="","Falta fecha prevista",IF(AND(J98="Entregado",G98=""),"Entregado sin fecha de entrega",IF(ISNA(MATCH(J98,Inicio!$Z$1:$Z$6,0)),"Estado no reconocido",IF(F98&lt;C98,"Prevista anterior al pedido",IF(AND(G98&lt;&gt;"",G98&lt;C98),"Entrega anterior al pedido","")))))))</f>
        <v/>
      </c>
      <c r="U98" s="13" t="str">
        <f aca="false">IF(L98&lt;&gt;"Sí","",IF(M98="Dato pendiente","Poner fecha prevista y avisar al cliente",IF(M98="En plazo","Seguimiento normal",IF(J98="Listo para recoger","Recordar la recogida al cliente",IF(J98="Esperando pieza","Pedir fecha al proveedor y avisar al cliente",IF(J98="En taller","Revisar con el taller","Confirmar el pedido con el proveedor"))))))</f>
        <v>Seguimiento normal</v>
      </c>
      <c r="V98" s="29" t="str">
        <f aca="false">IF(M98="Dato pendiente",1000+ROW()/10000,IF(M98="Fuera de plazo",N98+ROW()/10000,""))</f>
        <v/>
      </c>
      <c r="W98" s="30" t="str">
        <f aca="false">IF(T98="","",ROW())</f>
        <v/>
      </c>
    </row>
    <row r="99" customFormat="false" ht="15" hidden="false" customHeight="false" outlineLevel="0" collapsed="false">
      <c r="A99" s="13" t="s">
        <v>258</v>
      </c>
      <c r="B99" s="13" t="s">
        <v>164</v>
      </c>
      <c r="C99" s="28" t="n">
        <v>46289</v>
      </c>
      <c r="D99" s="13" t="s">
        <v>70</v>
      </c>
      <c r="E99" s="13" t="s">
        <v>199</v>
      </c>
      <c r="F99" s="28" t="n">
        <v>46293</v>
      </c>
      <c r="G99" s="28"/>
      <c r="H99" s="21" t="n">
        <v>699</v>
      </c>
      <c r="I99" s="21" t="n">
        <v>699</v>
      </c>
      <c r="J99" s="13" t="s">
        <v>0</v>
      </c>
      <c r="K99" s="13" t="str">
        <f aca="false">IF(A99="","",IFERROR(INDEX(Clientes!$B$2:$B$200,MATCH(B99,Clientes!$A$2:$A$200,0)),"Cliente no registrado"))</f>
        <v>Hugo Martín Serrano</v>
      </c>
      <c r="L99" s="13" t="str">
        <f aca="false">IF(A99="","",IF(OR(J99="Entregado",J99="Anulado"),"No","Sí"))</f>
        <v>Sí</v>
      </c>
      <c r="M99" s="13" t="str">
        <f aca="false">IF(A99="","",IF(J99="Entregado","Entregado",IF(J99="Anulado","Anulado",IF(F99="","Dato pendiente",IF(F99&lt;Control!$C$4,"Fuera de plazo","En plazo")))))</f>
        <v>En plazo</v>
      </c>
      <c r="N99" s="13" t="str">
        <f aca="false">IF(M99="Fuera de plazo",Control!$C$4-F99,"")</f>
        <v/>
      </c>
      <c r="O99" s="13" t="str">
        <f aca="false">IF(M99="Fuera de plazo",IF(J99="Listo para recoger","Cliente (no recoge)","Tienda o proveedor"),"")</f>
        <v/>
      </c>
      <c r="P99" s="13" t="n">
        <f aca="false">IF(A99="","",COUNTIF(Incidencias!$B$2:$B$151,A99))</f>
        <v>0</v>
      </c>
      <c r="Q99" s="13" t="n">
        <f aca="false">IF(A99="","",COUNTIFS(Incidencias!$B$2:$B$151,A99,Incidencias!$F$2:$F$151,"Abierta"))</f>
        <v>0</v>
      </c>
      <c r="R99" s="21" t="n">
        <f aca="false">IF(L99="Sí",H99-I99,IF(A99="","",0))</f>
        <v>0</v>
      </c>
      <c r="S99" s="13" t="str">
        <f aca="false">IF(AND(J99="Entregado",F99&lt;&gt;"",G99&lt;&gt;""),IF(G99&lt;=F99,"Sí","No"),"")</f>
        <v/>
      </c>
      <c r="T99" s="13" t="str">
        <f aca="false">IF(A99="","",IF(K99="Cliente no registrado","Cliente sin dar de alta",IF(F99="","Falta fecha prevista",IF(AND(J99="Entregado",G99=""),"Entregado sin fecha de entrega",IF(ISNA(MATCH(J99,Inicio!$Z$1:$Z$6,0)),"Estado no reconocido",IF(F99&lt;C99,"Prevista anterior al pedido",IF(AND(G99&lt;&gt;"",G99&lt;C99),"Entrega anterior al pedido","")))))))</f>
        <v/>
      </c>
      <c r="U99" s="13" t="str">
        <f aca="false">IF(L99&lt;&gt;"Sí","",IF(M99="Dato pendiente","Poner fecha prevista y avisar al cliente",IF(M99="En plazo","Seguimiento normal",IF(J99="Listo para recoger","Recordar la recogida al cliente",IF(J99="Esperando pieza","Pedir fecha al proveedor y avisar al cliente",IF(J99="En taller","Revisar con el taller","Confirmar el pedido con el proveedor"))))))</f>
        <v>Seguimiento normal</v>
      </c>
      <c r="V99" s="29" t="str">
        <f aca="false">IF(M99="Dato pendiente",1000+ROW()/10000,IF(M99="Fuera de plazo",N99+ROW()/10000,""))</f>
        <v/>
      </c>
      <c r="W99" s="30" t="str">
        <f aca="false">IF(T99="","",ROW())</f>
        <v/>
      </c>
    </row>
    <row r="100" customFormat="false" ht="15" hidden="false" customHeight="false" outlineLevel="0" collapsed="false">
      <c r="A100" s="13" t="s">
        <v>259</v>
      </c>
      <c r="B100" s="13" t="s">
        <v>150</v>
      </c>
      <c r="C100" s="28" t="n">
        <v>46290</v>
      </c>
      <c r="D100" s="13" t="s">
        <v>69</v>
      </c>
      <c r="E100" s="13" t="s">
        <v>211</v>
      </c>
      <c r="F100" s="28" t="n">
        <v>46296</v>
      </c>
      <c r="G100" s="28"/>
      <c r="H100" s="21" t="n">
        <v>94.9</v>
      </c>
      <c r="I100" s="21" t="n">
        <v>50</v>
      </c>
      <c r="J100" s="13" t="s">
        <v>0</v>
      </c>
      <c r="K100" s="13" t="str">
        <f aca="false">IF(A100="","",IFERROR(INDEX(Clientes!$B$2:$B$200,MATCH(B100,Clientes!$A$2:$A$200,0)),"Cliente no registrado"))</f>
        <v>Academia Nevada Idiomas</v>
      </c>
      <c r="L100" s="13" t="str">
        <f aca="false">IF(A100="","",IF(OR(J100="Entregado",J100="Anulado"),"No","Sí"))</f>
        <v>Sí</v>
      </c>
      <c r="M100" s="13" t="str">
        <f aca="false">IF(A100="","",IF(J100="Entregado","Entregado",IF(J100="Anulado","Anulado",IF(F100="","Dato pendiente",IF(F100&lt;Control!$C$4,"Fuera de plazo","En plazo")))))</f>
        <v>En plazo</v>
      </c>
      <c r="N100" s="13" t="str">
        <f aca="false">IF(M100="Fuera de plazo",Control!$C$4-F100,"")</f>
        <v/>
      </c>
      <c r="O100" s="13" t="str">
        <f aca="false">IF(M100="Fuera de plazo",IF(J100="Listo para recoger","Cliente (no recoge)","Tienda o proveedor"),"")</f>
        <v/>
      </c>
      <c r="P100" s="13" t="n">
        <f aca="false">IF(A100="","",COUNTIF(Incidencias!$B$2:$B$151,A100))</f>
        <v>0</v>
      </c>
      <c r="Q100" s="13" t="n">
        <f aca="false">IF(A100="","",COUNTIFS(Incidencias!$B$2:$B$151,A100,Incidencias!$F$2:$F$151,"Abierta"))</f>
        <v>0</v>
      </c>
      <c r="R100" s="21" t="n">
        <f aca="false">IF(L100="Sí",H100-I100,IF(A100="","",0))</f>
        <v>44.9</v>
      </c>
      <c r="S100" s="13" t="str">
        <f aca="false">IF(AND(J100="Entregado",F100&lt;&gt;"",G100&lt;&gt;""),IF(G100&lt;=F100,"Sí","No"),"")</f>
        <v/>
      </c>
      <c r="T100" s="13" t="str">
        <f aca="false">IF(A100="","",IF(K100="Cliente no registrado","Cliente sin dar de alta",IF(F100="","Falta fecha prevista",IF(AND(J100="Entregado",G100=""),"Entregado sin fecha de entrega",IF(ISNA(MATCH(J100,Inicio!$Z$1:$Z$6,0)),"Estado no reconocido",IF(F100&lt;C100,"Prevista anterior al pedido",IF(AND(G100&lt;&gt;"",G100&lt;C100),"Entrega anterior al pedido","")))))))</f>
        <v/>
      </c>
      <c r="U100" s="13" t="str">
        <f aca="false">IF(L100&lt;&gt;"Sí","",IF(M100="Dato pendiente","Poner fecha prevista y avisar al cliente",IF(M100="En plazo","Seguimiento normal",IF(J100="Listo para recoger","Recordar la recogida al cliente",IF(J100="Esperando pieza","Pedir fecha al proveedor y avisar al cliente",IF(J100="En taller","Revisar con el taller","Confirmar el pedido con el proveedor"))))))</f>
        <v>Seguimiento normal</v>
      </c>
      <c r="V100" s="29" t="str">
        <f aca="false">IF(M100="Dato pendiente",1000+ROW()/10000,IF(M100="Fuera de plazo",N100+ROW()/10000,""))</f>
        <v/>
      </c>
      <c r="W100" s="30" t="str">
        <f aca="false">IF(T100="","",ROW())</f>
        <v/>
      </c>
    </row>
    <row r="101" customFormat="false" ht="15" hidden="false" customHeight="false" outlineLevel="0" collapsed="false">
      <c r="A101" s="13" t="s">
        <v>260</v>
      </c>
      <c r="B101" s="13" t="s">
        <v>150</v>
      </c>
      <c r="C101" s="28" t="n">
        <v>46290</v>
      </c>
      <c r="D101" s="13" t="s">
        <v>67</v>
      </c>
      <c r="E101" s="13" t="s">
        <v>146</v>
      </c>
      <c r="F101" s="28" t="n">
        <v>46294</v>
      </c>
      <c r="G101" s="28"/>
      <c r="H101" s="21" t="n">
        <v>79</v>
      </c>
      <c r="I101" s="21" t="n">
        <v>0</v>
      </c>
      <c r="J101" s="13" t="s">
        <v>0</v>
      </c>
      <c r="K101" s="13" t="str">
        <f aca="false">IF(A101="","",IFERROR(INDEX(Clientes!$B$2:$B$200,MATCH(B101,Clientes!$A$2:$A$200,0)),"Cliente no registrado"))</f>
        <v>Academia Nevada Idiomas</v>
      </c>
      <c r="L101" s="13" t="str">
        <f aca="false">IF(A101="","",IF(OR(J101="Entregado",J101="Anulado"),"No","Sí"))</f>
        <v>Sí</v>
      </c>
      <c r="M101" s="13" t="str">
        <f aca="false">IF(A101="","",IF(J101="Entregado","Entregado",IF(J101="Anulado","Anulado",IF(F101="","Dato pendiente",IF(F101&lt;Control!$C$4,"Fuera de plazo","En plazo")))))</f>
        <v>En plazo</v>
      </c>
      <c r="N101" s="13" t="str">
        <f aca="false">IF(M101="Fuera de plazo",Control!$C$4-F101,"")</f>
        <v/>
      </c>
      <c r="O101" s="13" t="str">
        <f aca="false">IF(M101="Fuera de plazo",IF(J101="Listo para recoger","Cliente (no recoge)","Tienda o proveedor"),"")</f>
        <v/>
      </c>
      <c r="P101" s="13" t="n">
        <f aca="false">IF(A101="","",COUNTIF(Incidencias!$B$2:$B$151,A101))</f>
        <v>0</v>
      </c>
      <c r="Q101" s="13" t="n">
        <f aca="false">IF(A101="","",COUNTIFS(Incidencias!$B$2:$B$151,A101,Incidencias!$F$2:$F$151,"Abierta"))</f>
        <v>0</v>
      </c>
      <c r="R101" s="21" t="n">
        <f aca="false">IF(L101="Sí",H101-I101,IF(A101="","",0))</f>
        <v>79</v>
      </c>
      <c r="S101" s="13" t="str">
        <f aca="false">IF(AND(J101="Entregado",F101&lt;&gt;"",G101&lt;&gt;""),IF(G101&lt;=F101,"Sí","No"),"")</f>
        <v/>
      </c>
      <c r="T101" s="13" t="str">
        <f aca="false">IF(A101="","",IF(K101="Cliente no registrado","Cliente sin dar de alta",IF(F101="","Falta fecha prevista",IF(AND(J101="Entregado",G101=""),"Entregado sin fecha de entrega",IF(ISNA(MATCH(J101,Inicio!$Z$1:$Z$6,0)),"Estado no reconocido",IF(F101&lt;C101,"Prevista anterior al pedido",IF(AND(G101&lt;&gt;"",G101&lt;C101),"Entrega anterior al pedido","")))))))</f>
        <v/>
      </c>
      <c r="U101" s="13" t="str">
        <f aca="false">IF(L101&lt;&gt;"Sí","",IF(M101="Dato pendiente","Poner fecha prevista y avisar al cliente",IF(M101="En plazo","Seguimiento normal",IF(J101="Listo para recoger","Recordar la recogida al cliente",IF(J101="Esperando pieza","Pedir fecha al proveedor y avisar al cliente",IF(J101="En taller","Revisar con el taller","Confirmar el pedido con el proveedor"))))))</f>
        <v>Seguimiento normal</v>
      </c>
      <c r="V101" s="29" t="str">
        <f aca="false">IF(M101="Dato pendiente",1000+ROW()/10000,IF(M101="Fuera de plazo",N101+ROW()/10000,""))</f>
        <v/>
      </c>
      <c r="W101" s="30" t="str">
        <f aca="false">IF(T101="","",ROW())</f>
        <v/>
      </c>
    </row>
    <row r="102" customFormat="false" ht="15" hidden="false" customHeight="false" outlineLevel="0" collapsed="false">
      <c r="A102" s="13"/>
      <c r="B102" s="13"/>
      <c r="C102" s="28"/>
      <c r="D102" s="13"/>
      <c r="E102" s="13"/>
      <c r="F102" s="28"/>
      <c r="G102" s="28"/>
      <c r="H102" s="21"/>
      <c r="I102" s="21"/>
      <c r="J102" s="13"/>
      <c r="K102" s="13" t="str">
        <f aca="false">IF(A102="","",IFERROR(INDEX(Clientes!$B$2:$B$200,MATCH(B102,Clientes!$A$2:$A$200,0)),"Cliente no registrado"))</f>
        <v/>
      </c>
      <c r="L102" s="13" t="str">
        <f aca="false">IF(A102="","",IF(OR(J102="Entregado",J102="Anulado"),"No","Sí"))</f>
        <v/>
      </c>
      <c r="M102" s="13" t="str">
        <f aca="false">IF(A102="","",IF(J102="Entregado","Entregado",IF(J102="Anulado","Anulado",IF(F102="","Dato pendiente",IF(F102&lt;Control!$C$4,"Fuera de plazo","En plazo")))))</f>
        <v/>
      </c>
      <c r="N102" s="13" t="str">
        <f aca="false">IF(M102="Fuera de plazo",Control!$C$4-F102,"")</f>
        <v/>
      </c>
      <c r="O102" s="13" t="str">
        <f aca="false">IF(M102="Fuera de plazo",IF(J102="Listo para recoger","Cliente (no recoge)","Tienda o proveedor"),"")</f>
        <v/>
      </c>
      <c r="P102" s="13" t="str">
        <f aca="false">IF(A102="","",COUNTIF(Incidencias!$B$2:$B$151,A102))</f>
        <v/>
      </c>
      <c r="Q102" s="13" t="str">
        <f aca="false">IF(A102="","",COUNTIFS(Incidencias!$B$2:$B$151,A102,Incidencias!$F$2:$F$151,"Abierta"))</f>
        <v/>
      </c>
      <c r="R102" s="21" t="str">
        <f aca="false">IF(L102="Sí",H102-I102,IF(A102="","",0))</f>
        <v/>
      </c>
      <c r="S102" s="13" t="str">
        <f aca="false">IF(AND(J102="Entregado",F102&lt;&gt;"",G102&lt;&gt;""),IF(G102&lt;=F102,"Sí","No"),"")</f>
        <v/>
      </c>
      <c r="T102" s="13" t="str">
        <f aca="false">IF(A102="","",IF(K102="Cliente no registrado","Cliente sin dar de alta",IF(F102="","Falta fecha prevista",IF(AND(J102="Entregado",G102=""),"Entregado sin fecha de entrega",IF(ISNA(MATCH(J102,Inicio!$Z$1:$Z$6,0)),"Estado no reconocido",IF(F102&lt;C102,"Prevista anterior al pedido",IF(AND(G102&lt;&gt;"",G102&lt;C102),"Entrega anterior al pedido","")))))))</f>
        <v/>
      </c>
      <c r="U102" s="13" t="str">
        <f aca="false">IF(L102&lt;&gt;"Sí","",IF(M102="Dato pendiente","Poner fecha prevista y avisar al cliente",IF(M102="En plazo","Seguimiento normal",IF(J102="Listo para recoger","Recordar la recogida al cliente",IF(J102="Esperando pieza","Pedir fecha al proveedor y avisar al cliente",IF(J102="En taller","Revisar con el taller","Confirmar el pedido con el proveedor"))))))</f>
        <v/>
      </c>
      <c r="V102" s="29" t="str">
        <f aca="false">IF(M102="Dato pendiente",1000+ROW()/10000,IF(M102="Fuera de plazo",N102+ROW()/10000,""))</f>
        <v/>
      </c>
      <c r="W102" s="30" t="str">
        <f aca="false">IF(T102="","",ROW())</f>
        <v/>
      </c>
    </row>
    <row r="103" customFormat="false" ht="15" hidden="false" customHeight="false" outlineLevel="0" collapsed="false">
      <c r="A103" s="13"/>
      <c r="B103" s="13"/>
      <c r="C103" s="28"/>
      <c r="D103" s="13"/>
      <c r="E103" s="13"/>
      <c r="F103" s="28"/>
      <c r="G103" s="28"/>
      <c r="H103" s="21"/>
      <c r="I103" s="21"/>
      <c r="J103" s="13"/>
      <c r="K103" s="13" t="str">
        <f aca="false">IF(A103="","",IFERROR(INDEX(Clientes!$B$2:$B$200,MATCH(B103,Clientes!$A$2:$A$200,0)),"Cliente no registrado"))</f>
        <v/>
      </c>
      <c r="L103" s="13" t="str">
        <f aca="false">IF(A103="","",IF(OR(J103="Entregado",J103="Anulado"),"No","Sí"))</f>
        <v/>
      </c>
      <c r="M103" s="13" t="str">
        <f aca="false">IF(A103="","",IF(J103="Entregado","Entregado",IF(J103="Anulado","Anulado",IF(F103="","Dato pendiente",IF(F103&lt;Control!$C$4,"Fuera de plazo","En plazo")))))</f>
        <v/>
      </c>
      <c r="N103" s="13" t="str">
        <f aca="false">IF(M103="Fuera de plazo",Control!$C$4-F103,"")</f>
        <v/>
      </c>
      <c r="O103" s="13" t="str">
        <f aca="false">IF(M103="Fuera de plazo",IF(J103="Listo para recoger","Cliente (no recoge)","Tienda o proveedor"),"")</f>
        <v/>
      </c>
      <c r="P103" s="13" t="str">
        <f aca="false">IF(A103="","",COUNTIF(Incidencias!$B$2:$B$151,A103))</f>
        <v/>
      </c>
      <c r="Q103" s="13" t="str">
        <f aca="false">IF(A103="","",COUNTIFS(Incidencias!$B$2:$B$151,A103,Incidencias!$F$2:$F$151,"Abierta"))</f>
        <v/>
      </c>
      <c r="R103" s="21" t="str">
        <f aca="false">IF(L103="Sí",H103-I103,IF(A103="","",0))</f>
        <v/>
      </c>
      <c r="S103" s="13" t="str">
        <f aca="false">IF(AND(J103="Entregado",F103&lt;&gt;"",G103&lt;&gt;""),IF(G103&lt;=F103,"Sí","No"),"")</f>
        <v/>
      </c>
      <c r="T103" s="13" t="str">
        <f aca="false">IF(A103="","",IF(K103="Cliente no registrado","Cliente sin dar de alta",IF(F103="","Falta fecha prevista",IF(AND(J103="Entregado",G103=""),"Entregado sin fecha de entrega",IF(ISNA(MATCH(J103,Inicio!$Z$1:$Z$6,0)),"Estado no reconocido",IF(F103&lt;C103,"Prevista anterior al pedido",IF(AND(G103&lt;&gt;"",G103&lt;C103),"Entrega anterior al pedido","")))))))</f>
        <v/>
      </c>
      <c r="U103" s="13" t="str">
        <f aca="false">IF(L103&lt;&gt;"Sí","",IF(M103="Dato pendiente","Poner fecha prevista y avisar al cliente",IF(M103="En plazo","Seguimiento normal",IF(J103="Listo para recoger","Recordar la recogida al cliente",IF(J103="Esperando pieza","Pedir fecha al proveedor y avisar al cliente",IF(J103="En taller","Revisar con el taller","Confirmar el pedido con el proveedor"))))))</f>
        <v/>
      </c>
      <c r="V103" s="29" t="str">
        <f aca="false">IF(M103="Dato pendiente",1000+ROW()/10000,IF(M103="Fuera de plazo",N103+ROW()/10000,""))</f>
        <v/>
      </c>
      <c r="W103" s="30" t="str">
        <f aca="false">IF(T103="","",ROW())</f>
        <v/>
      </c>
    </row>
    <row r="104" customFormat="false" ht="15" hidden="false" customHeight="false" outlineLevel="0" collapsed="false">
      <c r="A104" s="13"/>
      <c r="B104" s="13"/>
      <c r="C104" s="28"/>
      <c r="D104" s="13"/>
      <c r="E104" s="13"/>
      <c r="F104" s="28"/>
      <c r="G104" s="28"/>
      <c r="H104" s="21"/>
      <c r="I104" s="21"/>
      <c r="J104" s="13"/>
      <c r="K104" s="13" t="str">
        <f aca="false">IF(A104="","",IFERROR(INDEX(Clientes!$B$2:$B$200,MATCH(B104,Clientes!$A$2:$A$200,0)),"Cliente no registrado"))</f>
        <v/>
      </c>
      <c r="L104" s="13" t="str">
        <f aca="false">IF(A104="","",IF(OR(J104="Entregado",J104="Anulado"),"No","Sí"))</f>
        <v/>
      </c>
      <c r="M104" s="13" t="str">
        <f aca="false">IF(A104="","",IF(J104="Entregado","Entregado",IF(J104="Anulado","Anulado",IF(F104="","Dato pendiente",IF(F104&lt;Control!$C$4,"Fuera de plazo","En plazo")))))</f>
        <v/>
      </c>
      <c r="N104" s="13" t="str">
        <f aca="false">IF(M104="Fuera de plazo",Control!$C$4-F104,"")</f>
        <v/>
      </c>
      <c r="O104" s="13" t="str">
        <f aca="false">IF(M104="Fuera de plazo",IF(J104="Listo para recoger","Cliente (no recoge)","Tienda o proveedor"),"")</f>
        <v/>
      </c>
      <c r="P104" s="13" t="str">
        <f aca="false">IF(A104="","",COUNTIF(Incidencias!$B$2:$B$151,A104))</f>
        <v/>
      </c>
      <c r="Q104" s="13" t="str">
        <f aca="false">IF(A104="","",COUNTIFS(Incidencias!$B$2:$B$151,A104,Incidencias!$F$2:$F$151,"Abierta"))</f>
        <v/>
      </c>
      <c r="R104" s="21" t="str">
        <f aca="false">IF(L104="Sí",H104-I104,IF(A104="","",0))</f>
        <v/>
      </c>
      <c r="S104" s="13" t="str">
        <f aca="false">IF(AND(J104="Entregado",F104&lt;&gt;"",G104&lt;&gt;""),IF(G104&lt;=F104,"Sí","No"),"")</f>
        <v/>
      </c>
      <c r="T104" s="13" t="str">
        <f aca="false">IF(A104="","",IF(K104="Cliente no registrado","Cliente sin dar de alta",IF(F104="","Falta fecha prevista",IF(AND(J104="Entregado",G104=""),"Entregado sin fecha de entrega",IF(ISNA(MATCH(J104,Inicio!$Z$1:$Z$6,0)),"Estado no reconocido",IF(F104&lt;C104,"Prevista anterior al pedido",IF(AND(G104&lt;&gt;"",G104&lt;C104),"Entrega anterior al pedido","")))))))</f>
        <v/>
      </c>
      <c r="U104" s="13" t="str">
        <f aca="false">IF(L104&lt;&gt;"Sí","",IF(M104="Dato pendiente","Poner fecha prevista y avisar al cliente",IF(M104="En plazo","Seguimiento normal",IF(J104="Listo para recoger","Recordar la recogida al cliente",IF(J104="Esperando pieza","Pedir fecha al proveedor y avisar al cliente",IF(J104="En taller","Revisar con el taller","Confirmar el pedido con el proveedor"))))))</f>
        <v/>
      </c>
      <c r="V104" s="29" t="str">
        <f aca="false">IF(M104="Dato pendiente",1000+ROW()/10000,IF(M104="Fuera de plazo",N104+ROW()/10000,""))</f>
        <v/>
      </c>
      <c r="W104" s="30" t="str">
        <f aca="false">IF(T104="","",ROW())</f>
        <v/>
      </c>
    </row>
    <row r="105" customFormat="false" ht="15" hidden="false" customHeight="false" outlineLevel="0" collapsed="false">
      <c r="A105" s="13"/>
      <c r="B105" s="13"/>
      <c r="C105" s="28"/>
      <c r="D105" s="13"/>
      <c r="E105" s="13"/>
      <c r="F105" s="28"/>
      <c r="G105" s="28"/>
      <c r="H105" s="21"/>
      <c r="I105" s="21"/>
      <c r="J105" s="13"/>
      <c r="K105" s="13" t="str">
        <f aca="false">IF(A105="","",IFERROR(INDEX(Clientes!$B$2:$B$200,MATCH(B105,Clientes!$A$2:$A$200,0)),"Cliente no registrado"))</f>
        <v/>
      </c>
      <c r="L105" s="13" t="str">
        <f aca="false">IF(A105="","",IF(OR(J105="Entregado",J105="Anulado"),"No","Sí"))</f>
        <v/>
      </c>
      <c r="M105" s="13" t="str">
        <f aca="false">IF(A105="","",IF(J105="Entregado","Entregado",IF(J105="Anulado","Anulado",IF(F105="","Dato pendiente",IF(F105&lt;Control!$C$4,"Fuera de plazo","En plazo")))))</f>
        <v/>
      </c>
      <c r="N105" s="13" t="str">
        <f aca="false">IF(M105="Fuera de plazo",Control!$C$4-F105,"")</f>
        <v/>
      </c>
      <c r="O105" s="13" t="str">
        <f aca="false">IF(M105="Fuera de plazo",IF(J105="Listo para recoger","Cliente (no recoge)","Tienda o proveedor"),"")</f>
        <v/>
      </c>
      <c r="P105" s="13" t="str">
        <f aca="false">IF(A105="","",COUNTIF(Incidencias!$B$2:$B$151,A105))</f>
        <v/>
      </c>
      <c r="Q105" s="13" t="str">
        <f aca="false">IF(A105="","",COUNTIFS(Incidencias!$B$2:$B$151,A105,Incidencias!$F$2:$F$151,"Abierta"))</f>
        <v/>
      </c>
      <c r="R105" s="21" t="str">
        <f aca="false">IF(L105="Sí",H105-I105,IF(A105="","",0))</f>
        <v/>
      </c>
      <c r="S105" s="13" t="str">
        <f aca="false">IF(AND(J105="Entregado",F105&lt;&gt;"",G105&lt;&gt;""),IF(G105&lt;=F105,"Sí","No"),"")</f>
        <v/>
      </c>
      <c r="T105" s="13" t="str">
        <f aca="false">IF(A105="","",IF(K105="Cliente no registrado","Cliente sin dar de alta",IF(F105="","Falta fecha prevista",IF(AND(J105="Entregado",G105=""),"Entregado sin fecha de entrega",IF(ISNA(MATCH(J105,Inicio!$Z$1:$Z$6,0)),"Estado no reconocido",IF(F105&lt;C105,"Prevista anterior al pedido",IF(AND(G105&lt;&gt;"",G105&lt;C105),"Entrega anterior al pedido","")))))))</f>
        <v/>
      </c>
      <c r="U105" s="13" t="str">
        <f aca="false">IF(L105&lt;&gt;"Sí","",IF(M105="Dato pendiente","Poner fecha prevista y avisar al cliente",IF(M105="En plazo","Seguimiento normal",IF(J105="Listo para recoger","Recordar la recogida al cliente",IF(J105="Esperando pieza","Pedir fecha al proveedor y avisar al cliente",IF(J105="En taller","Revisar con el taller","Confirmar el pedido con el proveedor"))))))</f>
        <v/>
      </c>
      <c r="V105" s="29" t="str">
        <f aca="false">IF(M105="Dato pendiente",1000+ROW()/10000,IF(M105="Fuera de plazo",N105+ROW()/10000,""))</f>
        <v/>
      </c>
      <c r="W105" s="30" t="str">
        <f aca="false">IF(T105="","",ROW())</f>
        <v/>
      </c>
    </row>
    <row r="106" customFormat="false" ht="15" hidden="false" customHeight="false" outlineLevel="0" collapsed="false">
      <c r="A106" s="13"/>
      <c r="B106" s="13"/>
      <c r="C106" s="28"/>
      <c r="D106" s="13"/>
      <c r="E106" s="13"/>
      <c r="F106" s="28"/>
      <c r="G106" s="28"/>
      <c r="H106" s="21"/>
      <c r="I106" s="21"/>
      <c r="J106" s="13"/>
      <c r="K106" s="13" t="str">
        <f aca="false">IF(A106="","",IFERROR(INDEX(Clientes!$B$2:$B$200,MATCH(B106,Clientes!$A$2:$A$200,0)),"Cliente no registrado"))</f>
        <v/>
      </c>
      <c r="L106" s="13" t="str">
        <f aca="false">IF(A106="","",IF(OR(J106="Entregado",J106="Anulado"),"No","Sí"))</f>
        <v/>
      </c>
      <c r="M106" s="13" t="str">
        <f aca="false">IF(A106="","",IF(J106="Entregado","Entregado",IF(J106="Anulado","Anulado",IF(F106="","Dato pendiente",IF(F106&lt;Control!$C$4,"Fuera de plazo","En plazo")))))</f>
        <v/>
      </c>
      <c r="N106" s="13" t="str">
        <f aca="false">IF(M106="Fuera de plazo",Control!$C$4-F106,"")</f>
        <v/>
      </c>
      <c r="O106" s="13" t="str">
        <f aca="false">IF(M106="Fuera de plazo",IF(J106="Listo para recoger","Cliente (no recoge)","Tienda o proveedor"),"")</f>
        <v/>
      </c>
      <c r="P106" s="13" t="str">
        <f aca="false">IF(A106="","",COUNTIF(Incidencias!$B$2:$B$151,A106))</f>
        <v/>
      </c>
      <c r="Q106" s="13" t="str">
        <f aca="false">IF(A106="","",COUNTIFS(Incidencias!$B$2:$B$151,A106,Incidencias!$F$2:$F$151,"Abierta"))</f>
        <v/>
      </c>
      <c r="R106" s="21" t="str">
        <f aca="false">IF(L106="Sí",H106-I106,IF(A106="","",0))</f>
        <v/>
      </c>
      <c r="S106" s="13" t="str">
        <f aca="false">IF(AND(J106="Entregado",F106&lt;&gt;"",G106&lt;&gt;""),IF(G106&lt;=F106,"Sí","No"),"")</f>
        <v/>
      </c>
      <c r="T106" s="13" t="str">
        <f aca="false">IF(A106="","",IF(K106="Cliente no registrado","Cliente sin dar de alta",IF(F106="","Falta fecha prevista",IF(AND(J106="Entregado",G106=""),"Entregado sin fecha de entrega",IF(ISNA(MATCH(J106,Inicio!$Z$1:$Z$6,0)),"Estado no reconocido",IF(F106&lt;C106,"Prevista anterior al pedido",IF(AND(G106&lt;&gt;"",G106&lt;C106),"Entrega anterior al pedido","")))))))</f>
        <v/>
      </c>
      <c r="U106" s="13" t="str">
        <f aca="false">IF(L106&lt;&gt;"Sí","",IF(M106="Dato pendiente","Poner fecha prevista y avisar al cliente",IF(M106="En plazo","Seguimiento normal",IF(J106="Listo para recoger","Recordar la recogida al cliente",IF(J106="Esperando pieza","Pedir fecha al proveedor y avisar al cliente",IF(J106="En taller","Revisar con el taller","Confirmar el pedido con el proveedor"))))))</f>
        <v/>
      </c>
      <c r="V106" s="29" t="str">
        <f aca="false">IF(M106="Dato pendiente",1000+ROW()/10000,IF(M106="Fuera de plazo",N106+ROW()/10000,""))</f>
        <v/>
      </c>
      <c r="W106" s="30" t="str">
        <f aca="false">IF(T106="","",ROW())</f>
        <v/>
      </c>
    </row>
    <row r="107" customFormat="false" ht="15" hidden="false" customHeight="false" outlineLevel="0" collapsed="false">
      <c r="A107" s="13"/>
      <c r="B107" s="13"/>
      <c r="C107" s="28"/>
      <c r="D107" s="13"/>
      <c r="E107" s="13"/>
      <c r="F107" s="28"/>
      <c r="G107" s="28"/>
      <c r="H107" s="21"/>
      <c r="I107" s="21"/>
      <c r="J107" s="13"/>
      <c r="K107" s="13" t="str">
        <f aca="false">IF(A107="","",IFERROR(INDEX(Clientes!$B$2:$B$200,MATCH(B107,Clientes!$A$2:$A$200,0)),"Cliente no registrado"))</f>
        <v/>
      </c>
      <c r="L107" s="13" t="str">
        <f aca="false">IF(A107="","",IF(OR(J107="Entregado",J107="Anulado"),"No","Sí"))</f>
        <v/>
      </c>
      <c r="M107" s="13" t="str">
        <f aca="false">IF(A107="","",IF(J107="Entregado","Entregado",IF(J107="Anulado","Anulado",IF(F107="","Dato pendiente",IF(F107&lt;Control!$C$4,"Fuera de plazo","En plazo")))))</f>
        <v/>
      </c>
      <c r="N107" s="13" t="str">
        <f aca="false">IF(M107="Fuera de plazo",Control!$C$4-F107,"")</f>
        <v/>
      </c>
      <c r="O107" s="13" t="str">
        <f aca="false">IF(M107="Fuera de plazo",IF(J107="Listo para recoger","Cliente (no recoge)","Tienda o proveedor"),"")</f>
        <v/>
      </c>
      <c r="P107" s="13" t="str">
        <f aca="false">IF(A107="","",COUNTIF(Incidencias!$B$2:$B$151,A107))</f>
        <v/>
      </c>
      <c r="Q107" s="13" t="str">
        <f aca="false">IF(A107="","",COUNTIFS(Incidencias!$B$2:$B$151,A107,Incidencias!$F$2:$F$151,"Abierta"))</f>
        <v/>
      </c>
      <c r="R107" s="21" t="str">
        <f aca="false">IF(L107="Sí",H107-I107,IF(A107="","",0))</f>
        <v/>
      </c>
      <c r="S107" s="13" t="str">
        <f aca="false">IF(AND(J107="Entregado",F107&lt;&gt;"",G107&lt;&gt;""),IF(G107&lt;=F107,"Sí","No"),"")</f>
        <v/>
      </c>
      <c r="T107" s="13" t="str">
        <f aca="false">IF(A107="","",IF(K107="Cliente no registrado","Cliente sin dar de alta",IF(F107="","Falta fecha prevista",IF(AND(J107="Entregado",G107=""),"Entregado sin fecha de entrega",IF(ISNA(MATCH(J107,Inicio!$Z$1:$Z$6,0)),"Estado no reconocido",IF(F107&lt;C107,"Prevista anterior al pedido",IF(AND(G107&lt;&gt;"",G107&lt;C107),"Entrega anterior al pedido","")))))))</f>
        <v/>
      </c>
      <c r="U107" s="13" t="str">
        <f aca="false">IF(L107&lt;&gt;"Sí","",IF(M107="Dato pendiente","Poner fecha prevista y avisar al cliente",IF(M107="En plazo","Seguimiento normal",IF(J107="Listo para recoger","Recordar la recogida al cliente",IF(J107="Esperando pieza","Pedir fecha al proveedor y avisar al cliente",IF(J107="En taller","Revisar con el taller","Confirmar el pedido con el proveedor"))))))</f>
        <v/>
      </c>
      <c r="V107" s="29" t="str">
        <f aca="false">IF(M107="Dato pendiente",1000+ROW()/10000,IF(M107="Fuera de plazo",N107+ROW()/10000,""))</f>
        <v/>
      </c>
      <c r="W107" s="30" t="str">
        <f aca="false">IF(T107="","",ROW())</f>
        <v/>
      </c>
    </row>
    <row r="108" customFormat="false" ht="15" hidden="false" customHeight="false" outlineLevel="0" collapsed="false">
      <c r="A108" s="13"/>
      <c r="B108" s="13"/>
      <c r="C108" s="28"/>
      <c r="D108" s="13"/>
      <c r="E108" s="13"/>
      <c r="F108" s="28"/>
      <c r="G108" s="28"/>
      <c r="H108" s="21"/>
      <c r="I108" s="21"/>
      <c r="J108" s="13"/>
      <c r="K108" s="13" t="str">
        <f aca="false">IF(A108="","",IFERROR(INDEX(Clientes!$B$2:$B$200,MATCH(B108,Clientes!$A$2:$A$200,0)),"Cliente no registrado"))</f>
        <v/>
      </c>
      <c r="L108" s="13" t="str">
        <f aca="false">IF(A108="","",IF(OR(J108="Entregado",J108="Anulado"),"No","Sí"))</f>
        <v/>
      </c>
      <c r="M108" s="13" t="str">
        <f aca="false">IF(A108="","",IF(J108="Entregado","Entregado",IF(J108="Anulado","Anulado",IF(F108="","Dato pendiente",IF(F108&lt;Control!$C$4,"Fuera de plazo","En plazo")))))</f>
        <v/>
      </c>
      <c r="N108" s="13" t="str">
        <f aca="false">IF(M108="Fuera de plazo",Control!$C$4-F108,"")</f>
        <v/>
      </c>
      <c r="O108" s="13" t="str">
        <f aca="false">IF(M108="Fuera de plazo",IF(J108="Listo para recoger","Cliente (no recoge)","Tienda o proveedor"),"")</f>
        <v/>
      </c>
      <c r="P108" s="13" t="str">
        <f aca="false">IF(A108="","",COUNTIF(Incidencias!$B$2:$B$151,A108))</f>
        <v/>
      </c>
      <c r="Q108" s="13" t="str">
        <f aca="false">IF(A108="","",COUNTIFS(Incidencias!$B$2:$B$151,A108,Incidencias!$F$2:$F$151,"Abierta"))</f>
        <v/>
      </c>
      <c r="R108" s="21" t="str">
        <f aca="false">IF(L108="Sí",H108-I108,IF(A108="","",0))</f>
        <v/>
      </c>
      <c r="S108" s="13" t="str">
        <f aca="false">IF(AND(J108="Entregado",F108&lt;&gt;"",G108&lt;&gt;""),IF(G108&lt;=F108,"Sí","No"),"")</f>
        <v/>
      </c>
      <c r="T108" s="13" t="str">
        <f aca="false">IF(A108="","",IF(K108="Cliente no registrado","Cliente sin dar de alta",IF(F108="","Falta fecha prevista",IF(AND(J108="Entregado",G108=""),"Entregado sin fecha de entrega",IF(ISNA(MATCH(J108,Inicio!$Z$1:$Z$6,0)),"Estado no reconocido",IF(F108&lt;C108,"Prevista anterior al pedido",IF(AND(G108&lt;&gt;"",G108&lt;C108),"Entrega anterior al pedido","")))))))</f>
        <v/>
      </c>
      <c r="U108" s="13" t="str">
        <f aca="false">IF(L108&lt;&gt;"Sí","",IF(M108="Dato pendiente","Poner fecha prevista y avisar al cliente",IF(M108="En plazo","Seguimiento normal",IF(J108="Listo para recoger","Recordar la recogida al cliente",IF(J108="Esperando pieza","Pedir fecha al proveedor y avisar al cliente",IF(J108="En taller","Revisar con el taller","Confirmar el pedido con el proveedor"))))))</f>
        <v/>
      </c>
      <c r="V108" s="29" t="str">
        <f aca="false">IF(M108="Dato pendiente",1000+ROW()/10000,IF(M108="Fuera de plazo",N108+ROW()/10000,""))</f>
        <v/>
      </c>
      <c r="W108" s="30" t="str">
        <f aca="false">IF(T108="","",ROW())</f>
        <v/>
      </c>
    </row>
    <row r="109" customFormat="false" ht="15" hidden="false" customHeight="false" outlineLevel="0" collapsed="false">
      <c r="A109" s="13"/>
      <c r="B109" s="13"/>
      <c r="C109" s="28"/>
      <c r="D109" s="13"/>
      <c r="E109" s="13"/>
      <c r="F109" s="28"/>
      <c r="G109" s="28"/>
      <c r="H109" s="21"/>
      <c r="I109" s="21"/>
      <c r="J109" s="13"/>
      <c r="K109" s="13" t="str">
        <f aca="false">IF(A109="","",IFERROR(INDEX(Clientes!$B$2:$B$200,MATCH(B109,Clientes!$A$2:$A$200,0)),"Cliente no registrado"))</f>
        <v/>
      </c>
      <c r="L109" s="13" t="str">
        <f aca="false">IF(A109="","",IF(OR(J109="Entregado",J109="Anulado"),"No","Sí"))</f>
        <v/>
      </c>
      <c r="M109" s="13" t="str">
        <f aca="false">IF(A109="","",IF(J109="Entregado","Entregado",IF(J109="Anulado","Anulado",IF(F109="","Dato pendiente",IF(F109&lt;Control!$C$4,"Fuera de plazo","En plazo")))))</f>
        <v/>
      </c>
      <c r="N109" s="13" t="str">
        <f aca="false">IF(M109="Fuera de plazo",Control!$C$4-F109,"")</f>
        <v/>
      </c>
      <c r="O109" s="13" t="str">
        <f aca="false">IF(M109="Fuera de plazo",IF(J109="Listo para recoger","Cliente (no recoge)","Tienda o proveedor"),"")</f>
        <v/>
      </c>
      <c r="P109" s="13" t="str">
        <f aca="false">IF(A109="","",COUNTIF(Incidencias!$B$2:$B$151,A109))</f>
        <v/>
      </c>
      <c r="Q109" s="13" t="str">
        <f aca="false">IF(A109="","",COUNTIFS(Incidencias!$B$2:$B$151,A109,Incidencias!$F$2:$F$151,"Abierta"))</f>
        <v/>
      </c>
      <c r="R109" s="21" t="str">
        <f aca="false">IF(L109="Sí",H109-I109,IF(A109="","",0))</f>
        <v/>
      </c>
      <c r="S109" s="13" t="str">
        <f aca="false">IF(AND(J109="Entregado",F109&lt;&gt;"",G109&lt;&gt;""),IF(G109&lt;=F109,"Sí","No"),"")</f>
        <v/>
      </c>
      <c r="T109" s="13" t="str">
        <f aca="false">IF(A109="","",IF(K109="Cliente no registrado","Cliente sin dar de alta",IF(F109="","Falta fecha prevista",IF(AND(J109="Entregado",G109=""),"Entregado sin fecha de entrega",IF(ISNA(MATCH(J109,Inicio!$Z$1:$Z$6,0)),"Estado no reconocido",IF(F109&lt;C109,"Prevista anterior al pedido",IF(AND(G109&lt;&gt;"",G109&lt;C109),"Entrega anterior al pedido","")))))))</f>
        <v/>
      </c>
      <c r="U109" s="13" t="str">
        <f aca="false">IF(L109&lt;&gt;"Sí","",IF(M109="Dato pendiente","Poner fecha prevista y avisar al cliente",IF(M109="En plazo","Seguimiento normal",IF(J109="Listo para recoger","Recordar la recogida al cliente",IF(J109="Esperando pieza","Pedir fecha al proveedor y avisar al cliente",IF(J109="En taller","Revisar con el taller","Confirmar el pedido con el proveedor"))))))</f>
        <v/>
      </c>
      <c r="V109" s="29" t="str">
        <f aca="false">IF(M109="Dato pendiente",1000+ROW()/10000,IF(M109="Fuera de plazo",N109+ROW()/10000,""))</f>
        <v/>
      </c>
      <c r="W109" s="30" t="str">
        <f aca="false">IF(T109="","",ROW())</f>
        <v/>
      </c>
    </row>
    <row r="110" customFormat="false" ht="15" hidden="false" customHeight="false" outlineLevel="0" collapsed="false">
      <c r="A110" s="13"/>
      <c r="B110" s="13"/>
      <c r="C110" s="28"/>
      <c r="D110" s="13"/>
      <c r="E110" s="13"/>
      <c r="F110" s="28"/>
      <c r="G110" s="28"/>
      <c r="H110" s="21"/>
      <c r="I110" s="21"/>
      <c r="J110" s="13"/>
      <c r="K110" s="13" t="str">
        <f aca="false">IF(A110="","",IFERROR(INDEX(Clientes!$B$2:$B$200,MATCH(B110,Clientes!$A$2:$A$200,0)),"Cliente no registrado"))</f>
        <v/>
      </c>
      <c r="L110" s="13" t="str">
        <f aca="false">IF(A110="","",IF(OR(J110="Entregado",J110="Anulado"),"No","Sí"))</f>
        <v/>
      </c>
      <c r="M110" s="13" t="str">
        <f aca="false">IF(A110="","",IF(J110="Entregado","Entregado",IF(J110="Anulado","Anulado",IF(F110="","Dato pendiente",IF(F110&lt;Control!$C$4,"Fuera de plazo","En plazo")))))</f>
        <v/>
      </c>
      <c r="N110" s="13" t="str">
        <f aca="false">IF(M110="Fuera de plazo",Control!$C$4-F110,"")</f>
        <v/>
      </c>
      <c r="O110" s="13" t="str">
        <f aca="false">IF(M110="Fuera de plazo",IF(J110="Listo para recoger","Cliente (no recoge)","Tienda o proveedor"),"")</f>
        <v/>
      </c>
      <c r="P110" s="13" t="str">
        <f aca="false">IF(A110="","",COUNTIF(Incidencias!$B$2:$B$151,A110))</f>
        <v/>
      </c>
      <c r="Q110" s="13" t="str">
        <f aca="false">IF(A110="","",COUNTIFS(Incidencias!$B$2:$B$151,A110,Incidencias!$F$2:$F$151,"Abierta"))</f>
        <v/>
      </c>
      <c r="R110" s="21" t="str">
        <f aca="false">IF(L110="Sí",H110-I110,IF(A110="","",0))</f>
        <v/>
      </c>
      <c r="S110" s="13" t="str">
        <f aca="false">IF(AND(J110="Entregado",F110&lt;&gt;"",G110&lt;&gt;""),IF(G110&lt;=F110,"Sí","No"),"")</f>
        <v/>
      </c>
      <c r="T110" s="13" t="str">
        <f aca="false">IF(A110="","",IF(K110="Cliente no registrado","Cliente sin dar de alta",IF(F110="","Falta fecha prevista",IF(AND(J110="Entregado",G110=""),"Entregado sin fecha de entrega",IF(ISNA(MATCH(J110,Inicio!$Z$1:$Z$6,0)),"Estado no reconocido",IF(F110&lt;C110,"Prevista anterior al pedido",IF(AND(G110&lt;&gt;"",G110&lt;C110),"Entrega anterior al pedido","")))))))</f>
        <v/>
      </c>
      <c r="U110" s="13" t="str">
        <f aca="false">IF(L110&lt;&gt;"Sí","",IF(M110="Dato pendiente","Poner fecha prevista y avisar al cliente",IF(M110="En plazo","Seguimiento normal",IF(J110="Listo para recoger","Recordar la recogida al cliente",IF(J110="Esperando pieza","Pedir fecha al proveedor y avisar al cliente",IF(J110="En taller","Revisar con el taller","Confirmar el pedido con el proveedor"))))))</f>
        <v/>
      </c>
      <c r="V110" s="29" t="str">
        <f aca="false">IF(M110="Dato pendiente",1000+ROW()/10000,IF(M110="Fuera de plazo",N110+ROW()/10000,""))</f>
        <v/>
      </c>
      <c r="W110" s="30" t="str">
        <f aca="false">IF(T110="","",ROW())</f>
        <v/>
      </c>
    </row>
    <row r="111" customFormat="false" ht="15" hidden="false" customHeight="false" outlineLevel="0" collapsed="false">
      <c r="A111" s="13"/>
      <c r="B111" s="13"/>
      <c r="C111" s="28"/>
      <c r="D111" s="13"/>
      <c r="E111" s="13"/>
      <c r="F111" s="28"/>
      <c r="G111" s="28"/>
      <c r="H111" s="21"/>
      <c r="I111" s="21"/>
      <c r="J111" s="13"/>
      <c r="K111" s="13" t="str">
        <f aca="false">IF(A111="","",IFERROR(INDEX(Clientes!$B$2:$B$200,MATCH(B111,Clientes!$A$2:$A$200,0)),"Cliente no registrado"))</f>
        <v/>
      </c>
      <c r="L111" s="13" t="str">
        <f aca="false">IF(A111="","",IF(OR(J111="Entregado",J111="Anulado"),"No","Sí"))</f>
        <v/>
      </c>
      <c r="M111" s="13" t="str">
        <f aca="false">IF(A111="","",IF(J111="Entregado","Entregado",IF(J111="Anulado","Anulado",IF(F111="","Dato pendiente",IF(F111&lt;Control!$C$4,"Fuera de plazo","En plazo")))))</f>
        <v/>
      </c>
      <c r="N111" s="13" t="str">
        <f aca="false">IF(M111="Fuera de plazo",Control!$C$4-F111,"")</f>
        <v/>
      </c>
      <c r="O111" s="13" t="str">
        <f aca="false">IF(M111="Fuera de plazo",IF(J111="Listo para recoger","Cliente (no recoge)","Tienda o proveedor"),"")</f>
        <v/>
      </c>
      <c r="P111" s="13" t="str">
        <f aca="false">IF(A111="","",COUNTIF(Incidencias!$B$2:$B$151,A111))</f>
        <v/>
      </c>
      <c r="Q111" s="13" t="str">
        <f aca="false">IF(A111="","",COUNTIFS(Incidencias!$B$2:$B$151,A111,Incidencias!$F$2:$F$151,"Abierta"))</f>
        <v/>
      </c>
      <c r="R111" s="21" t="str">
        <f aca="false">IF(L111="Sí",H111-I111,IF(A111="","",0))</f>
        <v/>
      </c>
      <c r="S111" s="13" t="str">
        <f aca="false">IF(AND(J111="Entregado",F111&lt;&gt;"",G111&lt;&gt;""),IF(G111&lt;=F111,"Sí","No"),"")</f>
        <v/>
      </c>
      <c r="T111" s="13" t="str">
        <f aca="false">IF(A111="","",IF(K111="Cliente no registrado","Cliente sin dar de alta",IF(F111="","Falta fecha prevista",IF(AND(J111="Entregado",G111=""),"Entregado sin fecha de entrega",IF(ISNA(MATCH(J111,Inicio!$Z$1:$Z$6,0)),"Estado no reconocido",IF(F111&lt;C111,"Prevista anterior al pedido",IF(AND(G111&lt;&gt;"",G111&lt;C111),"Entrega anterior al pedido","")))))))</f>
        <v/>
      </c>
      <c r="U111" s="13" t="str">
        <f aca="false">IF(L111&lt;&gt;"Sí","",IF(M111="Dato pendiente","Poner fecha prevista y avisar al cliente",IF(M111="En plazo","Seguimiento normal",IF(J111="Listo para recoger","Recordar la recogida al cliente",IF(J111="Esperando pieza","Pedir fecha al proveedor y avisar al cliente",IF(J111="En taller","Revisar con el taller","Confirmar el pedido con el proveedor"))))))</f>
        <v/>
      </c>
      <c r="V111" s="29" t="str">
        <f aca="false">IF(M111="Dato pendiente",1000+ROW()/10000,IF(M111="Fuera de plazo",N111+ROW()/10000,""))</f>
        <v/>
      </c>
      <c r="W111" s="30" t="str">
        <f aca="false">IF(T111="","",ROW())</f>
        <v/>
      </c>
    </row>
    <row r="112" customFormat="false" ht="15" hidden="false" customHeight="false" outlineLevel="0" collapsed="false">
      <c r="A112" s="13"/>
      <c r="B112" s="13"/>
      <c r="C112" s="28"/>
      <c r="D112" s="13"/>
      <c r="E112" s="13"/>
      <c r="F112" s="28"/>
      <c r="G112" s="28"/>
      <c r="H112" s="21"/>
      <c r="I112" s="21"/>
      <c r="J112" s="13"/>
      <c r="K112" s="13" t="str">
        <f aca="false">IF(A112="","",IFERROR(INDEX(Clientes!$B$2:$B$200,MATCH(B112,Clientes!$A$2:$A$200,0)),"Cliente no registrado"))</f>
        <v/>
      </c>
      <c r="L112" s="13" t="str">
        <f aca="false">IF(A112="","",IF(OR(J112="Entregado",J112="Anulado"),"No","Sí"))</f>
        <v/>
      </c>
      <c r="M112" s="13" t="str">
        <f aca="false">IF(A112="","",IF(J112="Entregado","Entregado",IF(J112="Anulado","Anulado",IF(F112="","Dato pendiente",IF(F112&lt;Control!$C$4,"Fuera de plazo","En plazo")))))</f>
        <v/>
      </c>
      <c r="N112" s="13" t="str">
        <f aca="false">IF(M112="Fuera de plazo",Control!$C$4-F112,"")</f>
        <v/>
      </c>
      <c r="O112" s="13" t="str">
        <f aca="false">IF(M112="Fuera de plazo",IF(J112="Listo para recoger","Cliente (no recoge)","Tienda o proveedor"),"")</f>
        <v/>
      </c>
      <c r="P112" s="13" t="str">
        <f aca="false">IF(A112="","",COUNTIF(Incidencias!$B$2:$B$151,A112))</f>
        <v/>
      </c>
      <c r="Q112" s="13" t="str">
        <f aca="false">IF(A112="","",COUNTIFS(Incidencias!$B$2:$B$151,A112,Incidencias!$F$2:$F$151,"Abierta"))</f>
        <v/>
      </c>
      <c r="R112" s="21" t="str">
        <f aca="false">IF(L112="Sí",H112-I112,IF(A112="","",0))</f>
        <v/>
      </c>
      <c r="S112" s="13" t="str">
        <f aca="false">IF(AND(J112="Entregado",F112&lt;&gt;"",G112&lt;&gt;""),IF(G112&lt;=F112,"Sí","No"),"")</f>
        <v/>
      </c>
      <c r="T112" s="13" t="str">
        <f aca="false">IF(A112="","",IF(K112="Cliente no registrado","Cliente sin dar de alta",IF(F112="","Falta fecha prevista",IF(AND(J112="Entregado",G112=""),"Entregado sin fecha de entrega",IF(ISNA(MATCH(J112,Inicio!$Z$1:$Z$6,0)),"Estado no reconocido",IF(F112&lt;C112,"Prevista anterior al pedido",IF(AND(G112&lt;&gt;"",G112&lt;C112),"Entrega anterior al pedido","")))))))</f>
        <v/>
      </c>
      <c r="U112" s="13" t="str">
        <f aca="false">IF(L112&lt;&gt;"Sí","",IF(M112="Dato pendiente","Poner fecha prevista y avisar al cliente",IF(M112="En plazo","Seguimiento normal",IF(J112="Listo para recoger","Recordar la recogida al cliente",IF(J112="Esperando pieza","Pedir fecha al proveedor y avisar al cliente",IF(J112="En taller","Revisar con el taller","Confirmar el pedido con el proveedor"))))))</f>
        <v/>
      </c>
      <c r="V112" s="29" t="str">
        <f aca="false">IF(M112="Dato pendiente",1000+ROW()/10000,IF(M112="Fuera de plazo",N112+ROW()/10000,""))</f>
        <v/>
      </c>
      <c r="W112" s="30" t="str">
        <f aca="false">IF(T112="","",ROW())</f>
        <v/>
      </c>
    </row>
    <row r="113" customFormat="false" ht="15" hidden="false" customHeight="false" outlineLevel="0" collapsed="false">
      <c r="A113" s="13"/>
      <c r="B113" s="13"/>
      <c r="C113" s="28"/>
      <c r="D113" s="13"/>
      <c r="E113" s="13"/>
      <c r="F113" s="28"/>
      <c r="G113" s="28"/>
      <c r="H113" s="21"/>
      <c r="I113" s="21"/>
      <c r="J113" s="13"/>
      <c r="K113" s="13" t="str">
        <f aca="false">IF(A113="","",IFERROR(INDEX(Clientes!$B$2:$B$200,MATCH(B113,Clientes!$A$2:$A$200,0)),"Cliente no registrado"))</f>
        <v/>
      </c>
      <c r="L113" s="13" t="str">
        <f aca="false">IF(A113="","",IF(OR(J113="Entregado",J113="Anulado"),"No","Sí"))</f>
        <v/>
      </c>
      <c r="M113" s="13" t="str">
        <f aca="false">IF(A113="","",IF(J113="Entregado","Entregado",IF(J113="Anulado","Anulado",IF(F113="","Dato pendiente",IF(F113&lt;Control!$C$4,"Fuera de plazo","En plazo")))))</f>
        <v/>
      </c>
      <c r="N113" s="13" t="str">
        <f aca="false">IF(M113="Fuera de plazo",Control!$C$4-F113,"")</f>
        <v/>
      </c>
      <c r="O113" s="13" t="str">
        <f aca="false">IF(M113="Fuera de plazo",IF(J113="Listo para recoger","Cliente (no recoge)","Tienda o proveedor"),"")</f>
        <v/>
      </c>
      <c r="P113" s="13" t="str">
        <f aca="false">IF(A113="","",COUNTIF(Incidencias!$B$2:$B$151,A113))</f>
        <v/>
      </c>
      <c r="Q113" s="13" t="str">
        <f aca="false">IF(A113="","",COUNTIFS(Incidencias!$B$2:$B$151,A113,Incidencias!$F$2:$F$151,"Abierta"))</f>
        <v/>
      </c>
      <c r="R113" s="21" t="str">
        <f aca="false">IF(L113="Sí",H113-I113,IF(A113="","",0))</f>
        <v/>
      </c>
      <c r="S113" s="13" t="str">
        <f aca="false">IF(AND(J113="Entregado",F113&lt;&gt;"",G113&lt;&gt;""),IF(G113&lt;=F113,"Sí","No"),"")</f>
        <v/>
      </c>
      <c r="T113" s="13" t="str">
        <f aca="false">IF(A113="","",IF(K113="Cliente no registrado","Cliente sin dar de alta",IF(F113="","Falta fecha prevista",IF(AND(J113="Entregado",G113=""),"Entregado sin fecha de entrega",IF(ISNA(MATCH(J113,Inicio!$Z$1:$Z$6,0)),"Estado no reconocido",IF(F113&lt;C113,"Prevista anterior al pedido",IF(AND(G113&lt;&gt;"",G113&lt;C113),"Entrega anterior al pedido","")))))))</f>
        <v/>
      </c>
      <c r="U113" s="13" t="str">
        <f aca="false">IF(L113&lt;&gt;"Sí","",IF(M113="Dato pendiente","Poner fecha prevista y avisar al cliente",IF(M113="En plazo","Seguimiento normal",IF(J113="Listo para recoger","Recordar la recogida al cliente",IF(J113="Esperando pieza","Pedir fecha al proveedor y avisar al cliente",IF(J113="En taller","Revisar con el taller","Confirmar el pedido con el proveedor"))))))</f>
        <v/>
      </c>
      <c r="V113" s="29" t="str">
        <f aca="false">IF(M113="Dato pendiente",1000+ROW()/10000,IF(M113="Fuera de plazo",N113+ROW()/10000,""))</f>
        <v/>
      </c>
      <c r="W113" s="30" t="str">
        <f aca="false">IF(T113="","",ROW())</f>
        <v/>
      </c>
    </row>
    <row r="114" customFormat="false" ht="15" hidden="false" customHeight="false" outlineLevel="0" collapsed="false">
      <c r="A114" s="13"/>
      <c r="B114" s="13"/>
      <c r="C114" s="28"/>
      <c r="D114" s="13"/>
      <c r="E114" s="13"/>
      <c r="F114" s="28"/>
      <c r="G114" s="28"/>
      <c r="H114" s="21"/>
      <c r="I114" s="21"/>
      <c r="J114" s="13"/>
      <c r="K114" s="13" t="str">
        <f aca="false">IF(A114="","",IFERROR(INDEX(Clientes!$B$2:$B$200,MATCH(B114,Clientes!$A$2:$A$200,0)),"Cliente no registrado"))</f>
        <v/>
      </c>
      <c r="L114" s="13" t="str">
        <f aca="false">IF(A114="","",IF(OR(J114="Entregado",J114="Anulado"),"No","Sí"))</f>
        <v/>
      </c>
      <c r="M114" s="13" t="str">
        <f aca="false">IF(A114="","",IF(J114="Entregado","Entregado",IF(J114="Anulado","Anulado",IF(F114="","Dato pendiente",IF(F114&lt;Control!$C$4,"Fuera de plazo","En plazo")))))</f>
        <v/>
      </c>
      <c r="N114" s="13" t="str">
        <f aca="false">IF(M114="Fuera de plazo",Control!$C$4-F114,"")</f>
        <v/>
      </c>
      <c r="O114" s="13" t="str">
        <f aca="false">IF(M114="Fuera de plazo",IF(J114="Listo para recoger","Cliente (no recoge)","Tienda o proveedor"),"")</f>
        <v/>
      </c>
      <c r="P114" s="13" t="str">
        <f aca="false">IF(A114="","",COUNTIF(Incidencias!$B$2:$B$151,A114))</f>
        <v/>
      </c>
      <c r="Q114" s="13" t="str">
        <f aca="false">IF(A114="","",COUNTIFS(Incidencias!$B$2:$B$151,A114,Incidencias!$F$2:$F$151,"Abierta"))</f>
        <v/>
      </c>
      <c r="R114" s="21" t="str">
        <f aca="false">IF(L114="Sí",H114-I114,IF(A114="","",0))</f>
        <v/>
      </c>
      <c r="S114" s="13" t="str">
        <f aca="false">IF(AND(J114="Entregado",F114&lt;&gt;"",G114&lt;&gt;""),IF(G114&lt;=F114,"Sí","No"),"")</f>
        <v/>
      </c>
      <c r="T114" s="13" t="str">
        <f aca="false">IF(A114="","",IF(K114="Cliente no registrado","Cliente sin dar de alta",IF(F114="","Falta fecha prevista",IF(AND(J114="Entregado",G114=""),"Entregado sin fecha de entrega",IF(ISNA(MATCH(J114,Inicio!$Z$1:$Z$6,0)),"Estado no reconocido",IF(F114&lt;C114,"Prevista anterior al pedido",IF(AND(G114&lt;&gt;"",G114&lt;C114),"Entrega anterior al pedido","")))))))</f>
        <v/>
      </c>
      <c r="U114" s="13" t="str">
        <f aca="false">IF(L114&lt;&gt;"Sí","",IF(M114="Dato pendiente","Poner fecha prevista y avisar al cliente",IF(M114="En plazo","Seguimiento normal",IF(J114="Listo para recoger","Recordar la recogida al cliente",IF(J114="Esperando pieza","Pedir fecha al proveedor y avisar al cliente",IF(J114="En taller","Revisar con el taller","Confirmar el pedido con el proveedor"))))))</f>
        <v/>
      </c>
      <c r="V114" s="29" t="str">
        <f aca="false">IF(M114="Dato pendiente",1000+ROW()/10000,IF(M114="Fuera de plazo",N114+ROW()/10000,""))</f>
        <v/>
      </c>
      <c r="W114" s="30" t="str">
        <f aca="false">IF(T114="","",ROW())</f>
        <v/>
      </c>
    </row>
    <row r="115" customFormat="false" ht="15" hidden="false" customHeight="false" outlineLevel="0" collapsed="false">
      <c r="A115" s="13"/>
      <c r="B115" s="13"/>
      <c r="C115" s="28"/>
      <c r="D115" s="13"/>
      <c r="E115" s="13"/>
      <c r="F115" s="28"/>
      <c r="G115" s="28"/>
      <c r="H115" s="21"/>
      <c r="I115" s="21"/>
      <c r="J115" s="13"/>
      <c r="K115" s="13" t="str">
        <f aca="false">IF(A115="","",IFERROR(INDEX(Clientes!$B$2:$B$200,MATCH(B115,Clientes!$A$2:$A$200,0)),"Cliente no registrado"))</f>
        <v/>
      </c>
      <c r="L115" s="13" t="str">
        <f aca="false">IF(A115="","",IF(OR(J115="Entregado",J115="Anulado"),"No","Sí"))</f>
        <v/>
      </c>
      <c r="M115" s="13" t="str">
        <f aca="false">IF(A115="","",IF(J115="Entregado","Entregado",IF(J115="Anulado","Anulado",IF(F115="","Dato pendiente",IF(F115&lt;Control!$C$4,"Fuera de plazo","En plazo")))))</f>
        <v/>
      </c>
      <c r="N115" s="13" t="str">
        <f aca="false">IF(M115="Fuera de plazo",Control!$C$4-F115,"")</f>
        <v/>
      </c>
      <c r="O115" s="13" t="str">
        <f aca="false">IF(M115="Fuera de plazo",IF(J115="Listo para recoger","Cliente (no recoge)","Tienda o proveedor"),"")</f>
        <v/>
      </c>
      <c r="P115" s="13" t="str">
        <f aca="false">IF(A115="","",COUNTIF(Incidencias!$B$2:$B$151,A115))</f>
        <v/>
      </c>
      <c r="Q115" s="13" t="str">
        <f aca="false">IF(A115="","",COUNTIFS(Incidencias!$B$2:$B$151,A115,Incidencias!$F$2:$F$151,"Abierta"))</f>
        <v/>
      </c>
      <c r="R115" s="21" t="str">
        <f aca="false">IF(L115="Sí",H115-I115,IF(A115="","",0))</f>
        <v/>
      </c>
      <c r="S115" s="13" t="str">
        <f aca="false">IF(AND(J115="Entregado",F115&lt;&gt;"",G115&lt;&gt;""),IF(G115&lt;=F115,"Sí","No"),"")</f>
        <v/>
      </c>
      <c r="T115" s="13" t="str">
        <f aca="false">IF(A115="","",IF(K115="Cliente no registrado","Cliente sin dar de alta",IF(F115="","Falta fecha prevista",IF(AND(J115="Entregado",G115=""),"Entregado sin fecha de entrega",IF(ISNA(MATCH(J115,Inicio!$Z$1:$Z$6,0)),"Estado no reconocido",IF(F115&lt;C115,"Prevista anterior al pedido",IF(AND(G115&lt;&gt;"",G115&lt;C115),"Entrega anterior al pedido","")))))))</f>
        <v/>
      </c>
      <c r="U115" s="13" t="str">
        <f aca="false">IF(L115&lt;&gt;"Sí","",IF(M115="Dato pendiente","Poner fecha prevista y avisar al cliente",IF(M115="En plazo","Seguimiento normal",IF(J115="Listo para recoger","Recordar la recogida al cliente",IF(J115="Esperando pieza","Pedir fecha al proveedor y avisar al cliente",IF(J115="En taller","Revisar con el taller","Confirmar el pedido con el proveedor"))))))</f>
        <v/>
      </c>
      <c r="V115" s="29" t="str">
        <f aca="false">IF(M115="Dato pendiente",1000+ROW()/10000,IF(M115="Fuera de plazo",N115+ROW()/10000,""))</f>
        <v/>
      </c>
      <c r="W115" s="30" t="str">
        <f aca="false">IF(T115="","",ROW())</f>
        <v/>
      </c>
    </row>
    <row r="116" customFormat="false" ht="15" hidden="false" customHeight="false" outlineLevel="0" collapsed="false">
      <c r="A116" s="13"/>
      <c r="B116" s="13"/>
      <c r="C116" s="28"/>
      <c r="D116" s="13"/>
      <c r="E116" s="13"/>
      <c r="F116" s="28"/>
      <c r="G116" s="28"/>
      <c r="H116" s="21"/>
      <c r="I116" s="21"/>
      <c r="J116" s="13"/>
      <c r="K116" s="13" t="str">
        <f aca="false">IF(A116="","",IFERROR(INDEX(Clientes!$B$2:$B$200,MATCH(B116,Clientes!$A$2:$A$200,0)),"Cliente no registrado"))</f>
        <v/>
      </c>
      <c r="L116" s="13" t="str">
        <f aca="false">IF(A116="","",IF(OR(J116="Entregado",J116="Anulado"),"No","Sí"))</f>
        <v/>
      </c>
      <c r="M116" s="13" t="str">
        <f aca="false">IF(A116="","",IF(J116="Entregado","Entregado",IF(J116="Anulado","Anulado",IF(F116="","Dato pendiente",IF(F116&lt;Control!$C$4,"Fuera de plazo","En plazo")))))</f>
        <v/>
      </c>
      <c r="N116" s="13" t="str">
        <f aca="false">IF(M116="Fuera de plazo",Control!$C$4-F116,"")</f>
        <v/>
      </c>
      <c r="O116" s="13" t="str">
        <f aca="false">IF(M116="Fuera de plazo",IF(J116="Listo para recoger","Cliente (no recoge)","Tienda o proveedor"),"")</f>
        <v/>
      </c>
      <c r="P116" s="13" t="str">
        <f aca="false">IF(A116="","",COUNTIF(Incidencias!$B$2:$B$151,A116))</f>
        <v/>
      </c>
      <c r="Q116" s="13" t="str">
        <f aca="false">IF(A116="","",COUNTIFS(Incidencias!$B$2:$B$151,A116,Incidencias!$F$2:$F$151,"Abierta"))</f>
        <v/>
      </c>
      <c r="R116" s="21" t="str">
        <f aca="false">IF(L116="Sí",H116-I116,IF(A116="","",0))</f>
        <v/>
      </c>
      <c r="S116" s="13" t="str">
        <f aca="false">IF(AND(J116="Entregado",F116&lt;&gt;"",G116&lt;&gt;""),IF(G116&lt;=F116,"Sí","No"),"")</f>
        <v/>
      </c>
      <c r="T116" s="13" t="str">
        <f aca="false">IF(A116="","",IF(K116="Cliente no registrado","Cliente sin dar de alta",IF(F116="","Falta fecha prevista",IF(AND(J116="Entregado",G116=""),"Entregado sin fecha de entrega",IF(ISNA(MATCH(J116,Inicio!$Z$1:$Z$6,0)),"Estado no reconocido",IF(F116&lt;C116,"Prevista anterior al pedido",IF(AND(G116&lt;&gt;"",G116&lt;C116),"Entrega anterior al pedido","")))))))</f>
        <v/>
      </c>
      <c r="U116" s="13" t="str">
        <f aca="false">IF(L116&lt;&gt;"Sí","",IF(M116="Dato pendiente","Poner fecha prevista y avisar al cliente",IF(M116="En plazo","Seguimiento normal",IF(J116="Listo para recoger","Recordar la recogida al cliente",IF(J116="Esperando pieza","Pedir fecha al proveedor y avisar al cliente",IF(J116="En taller","Revisar con el taller","Confirmar el pedido con el proveedor"))))))</f>
        <v/>
      </c>
      <c r="V116" s="29" t="str">
        <f aca="false">IF(M116="Dato pendiente",1000+ROW()/10000,IF(M116="Fuera de plazo",N116+ROW()/10000,""))</f>
        <v/>
      </c>
      <c r="W116" s="30" t="str">
        <f aca="false">IF(T116="","",ROW())</f>
        <v/>
      </c>
    </row>
    <row r="117" customFormat="false" ht="15" hidden="false" customHeight="false" outlineLevel="0" collapsed="false">
      <c r="A117" s="13"/>
      <c r="B117" s="13"/>
      <c r="C117" s="28"/>
      <c r="D117" s="13"/>
      <c r="E117" s="13"/>
      <c r="F117" s="28"/>
      <c r="G117" s="28"/>
      <c r="H117" s="21"/>
      <c r="I117" s="21"/>
      <c r="J117" s="13"/>
      <c r="K117" s="13" t="str">
        <f aca="false">IF(A117="","",IFERROR(INDEX(Clientes!$B$2:$B$200,MATCH(B117,Clientes!$A$2:$A$200,0)),"Cliente no registrado"))</f>
        <v/>
      </c>
      <c r="L117" s="13" t="str">
        <f aca="false">IF(A117="","",IF(OR(J117="Entregado",J117="Anulado"),"No","Sí"))</f>
        <v/>
      </c>
      <c r="M117" s="13" t="str">
        <f aca="false">IF(A117="","",IF(J117="Entregado","Entregado",IF(J117="Anulado","Anulado",IF(F117="","Dato pendiente",IF(F117&lt;Control!$C$4,"Fuera de plazo","En plazo")))))</f>
        <v/>
      </c>
      <c r="N117" s="13" t="str">
        <f aca="false">IF(M117="Fuera de plazo",Control!$C$4-F117,"")</f>
        <v/>
      </c>
      <c r="O117" s="13" t="str">
        <f aca="false">IF(M117="Fuera de plazo",IF(J117="Listo para recoger","Cliente (no recoge)","Tienda o proveedor"),"")</f>
        <v/>
      </c>
      <c r="P117" s="13" t="str">
        <f aca="false">IF(A117="","",COUNTIF(Incidencias!$B$2:$B$151,A117))</f>
        <v/>
      </c>
      <c r="Q117" s="13" t="str">
        <f aca="false">IF(A117="","",COUNTIFS(Incidencias!$B$2:$B$151,A117,Incidencias!$F$2:$F$151,"Abierta"))</f>
        <v/>
      </c>
      <c r="R117" s="21" t="str">
        <f aca="false">IF(L117="Sí",H117-I117,IF(A117="","",0))</f>
        <v/>
      </c>
      <c r="S117" s="13" t="str">
        <f aca="false">IF(AND(J117="Entregado",F117&lt;&gt;"",G117&lt;&gt;""),IF(G117&lt;=F117,"Sí","No"),"")</f>
        <v/>
      </c>
      <c r="T117" s="13" t="str">
        <f aca="false">IF(A117="","",IF(K117="Cliente no registrado","Cliente sin dar de alta",IF(F117="","Falta fecha prevista",IF(AND(J117="Entregado",G117=""),"Entregado sin fecha de entrega",IF(ISNA(MATCH(J117,Inicio!$Z$1:$Z$6,0)),"Estado no reconocido",IF(F117&lt;C117,"Prevista anterior al pedido",IF(AND(G117&lt;&gt;"",G117&lt;C117),"Entrega anterior al pedido","")))))))</f>
        <v/>
      </c>
      <c r="U117" s="13" t="str">
        <f aca="false">IF(L117&lt;&gt;"Sí","",IF(M117="Dato pendiente","Poner fecha prevista y avisar al cliente",IF(M117="En plazo","Seguimiento normal",IF(J117="Listo para recoger","Recordar la recogida al cliente",IF(J117="Esperando pieza","Pedir fecha al proveedor y avisar al cliente",IF(J117="En taller","Revisar con el taller","Confirmar el pedido con el proveedor"))))))</f>
        <v/>
      </c>
      <c r="V117" s="29" t="str">
        <f aca="false">IF(M117="Dato pendiente",1000+ROW()/10000,IF(M117="Fuera de plazo",N117+ROW()/10000,""))</f>
        <v/>
      </c>
      <c r="W117" s="30" t="str">
        <f aca="false">IF(T117="","",ROW())</f>
        <v/>
      </c>
    </row>
    <row r="118" customFormat="false" ht="15" hidden="false" customHeight="false" outlineLevel="0" collapsed="false">
      <c r="A118" s="13"/>
      <c r="B118" s="13"/>
      <c r="C118" s="28"/>
      <c r="D118" s="13"/>
      <c r="E118" s="13"/>
      <c r="F118" s="28"/>
      <c r="G118" s="28"/>
      <c r="H118" s="21"/>
      <c r="I118" s="21"/>
      <c r="J118" s="13"/>
      <c r="K118" s="13" t="str">
        <f aca="false">IF(A118="","",IFERROR(INDEX(Clientes!$B$2:$B$200,MATCH(B118,Clientes!$A$2:$A$200,0)),"Cliente no registrado"))</f>
        <v/>
      </c>
      <c r="L118" s="13" t="str">
        <f aca="false">IF(A118="","",IF(OR(J118="Entregado",J118="Anulado"),"No","Sí"))</f>
        <v/>
      </c>
      <c r="M118" s="13" t="str">
        <f aca="false">IF(A118="","",IF(J118="Entregado","Entregado",IF(J118="Anulado","Anulado",IF(F118="","Dato pendiente",IF(F118&lt;Control!$C$4,"Fuera de plazo","En plazo")))))</f>
        <v/>
      </c>
      <c r="N118" s="13" t="str">
        <f aca="false">IF(M118="Fuera de plazo",Control!$C$4-F118,"")</f>
        <v/>
      </c>
      <c r="O118" s="13" t="str">
        <f aca="false">IF(M118="Fuera de plazo",IF(J118="Listo para recoger","Cliente (no recoge)","Tienda o proveedor"),"")</f>
        <v/>
      </c>
      <c r="P118" s="13" t="str">
        <f aca="false">IF(A118="","",COUNTIF(Incidencias!$B$2:$B$151,A118))</f>
        <v/>
      </c>
      <c r="Q118" s="13" t="str">
        <f aca="false">IF(A118="","",COUNTIFS(Incidencias!$B$2:$B$151,A118,Incidencias!$F$2:$F$151,"Abierta"))</f>
        <v/>
      </c>
      <c r="R118" s="21" t="str">
        <f aca="false">IF(L118="Sí",H118-I118,IF(A118="","",0))</f>
        <v/>
      </c>
      <c r="S118" s="13" t="str">
        <f aca="false">IF(AND(J118="Entregado",F118&lt;&gt;"",G118&lt;&gt;""),IF(G118&lt;=F118,"Sí","No"),"")</f>
        <v/>
      </c>
      <c r="T118" s="13" t="str">
        <f aca="false">IF(A118="","",IF(K118="Cliente no registrado","Cliente sin dar de alta",IF(F118="","Falta fecha prevista",IF(AND(J118="Entregado",G118=""),"Entregado sin fecha de entrega",IF(ISNA(MATCH(J118,Inicio!$Z$1:$Z$6,0)),"Estado no reconocido",IF(F118&lt;C118,"Prevista anterior al pedido",IF(AND(G118&lt;&gt;"",G118&lt;C118),"Entrega anterior al pedido","")))))))</f>
        <v/>
      </c>
      <c r="U118" s="13" t="str">
        <f aca="false">IF(L118&lt;&gt;"Sí","",IF(M118="Dato pendiente","Poner fecha prevista y avisar al cliente",IF(M118="En plazo","Seguimiento normal",IF(J118="Listo para recoger","Recordar la recogida al cliente",IF(J118="Esperando pieza","Pedir fecha al proveedor y avisar al cliente",IF(J118="En taller","Revisar con el taller","Confirmar el pedido con el proveedor"))))))</f>
        <v/>
      </c>
      <c r="V118" s="29" t="str">
        <f aca="false">IF(M118="Dato pendiente",1000+ROW()/10000,IF(M118="Fuera de plazo",N118+ROW()/10000,""))</f>
        <v/>
      </c>
      <c r="W118" s="30" t="str">
        <f aca="false">IF(T118="","",ROW())</f>
        <v/>
      </c>
    </row>
    <row r="119" customFormat="false" ht="15" hidden="false" customHeight="false" outlineLevel="0" collapsed="false">
      <c r="A119" s="13"/>
      <c r="B119" s="13"/>
      <c r="C119" s="28"/>
      <c r="D119" s="13"/>
      <c r="E119" s="13"/>
      <c r="F119" s="28"/>
      <c r="G119" s="28"/>
      <c r="H119" s="21"/>
      <c r="I119" s="21"/>
      <c r="J119" s="13"/>
      <c r="K119" s="13" t="str">
        <f aca="false">IF(A119="","",IFERROR(INDEX(Clientes!$B$2:$B$200,MATCH(B119,Clientes!$A$2:$A$200,0)),"Cliente no registrado"))</f>
        <v/>
      </c>
      <c r="L119" s="13" t="str">
        <f aca="false">IF(A119="","",IF(OR(J119="Entregado",J119="Anulado"),"No","Sí"))</f>
        <v/>
      </c>
      <c r="M119" s="13" t="str">
        <f aca="false">IF(A119="","",IF(J119="Entregado","Entregado",IF(J119="Anulado","Anulado",IF(F119="","Dato pendiente",IF(F119&lt;Control!$C$4,"Fuera de plazo","En plazo")))))</f>
        <v/>
      </c>
      <c r="N119" s="13" t="str">
        <f aca="false">IF(M119="Fuera de plazo",Control!$C$4-F119,"")</f>
        <v/>
      </c>
      <c r="O119" s="13" t="str">
        <f aca="false">IF(M119="Fuera de plazo",IF(J119="Listo para recoger","Cliente (no recoge)","Tienda o proveedor"),"")</f>
        <v/>
      </c>
      <c r="P119" s="13" t="str">
        <f aca="false">IF(A119="","",COUNTIF(Incidencias!$B$2:$B$151,A119))</f>
        <v/>
      </c>
      <c r="Q119" s="13" t="str">
        <f aca="false">IF(A119="","",COUNTIFS(Incidencias!$B$2:$B$151,A119,Incidencias!$F$2:$F$151,"Abierta"))</f>
        <v/>
      </c>
      <c r="R119" s="21" t="str">
        <f aca="false">IF(L119="Sí",H119-I119,IF(A119="","",0))</f>
        <v/>
      </c>
      <c r="S119" s="13" t="str">
        <f aca="false">IF(AND(J119="Entregado",F119&lt;&gt;"",G119&lt;&gt;""),IF(G119&lt;=F119,"Sí","No"),"")</f>
        <v/>
      </c>
      <c r="T119" s="13" t="str">
        <f aca="false">IF(A119="","",IF(K119="Cliente no registrado","Cliente sin dar de alta",IF(F119="","Falta fecha prevista",IF(AND(J119="Entregado",G119=""),"Entregado sin fecha de entrega",IF(ISNA(MATCH(J119,Inicio!$Z$1:$Z$6,0)),"Estado no reconocido",IF(F119&lt;C119,"Prevista anterior al pedido",IF(AND(G119&lt;&gt;"",G119&lt;C119),"Entrega anterior al pedido","")))))))</f>
        <v/>
      </c>
      <c r="U119" s="13" t="str">
        <f aca="false">IF(L119&lt;&gt;"Sí","",IF(M119="Dato pendiente","Poner fecha prevista y avisar al cliente",IF(M119="En plazo","Seguimiento normal",IF(J119="Listo para recoger","Recordar la recogida al cliente",IF(J119="Esperando pieza","Pedir fecha al proveedor y avisar al cliente",IF(J119="En taller","Revisar con el taller","Confirmar el pedido con el proveedor"))))))</f>
        <v/>
      </c>
      <c r="V119" s="29" t="str">
        <f aca="false">IF(M119="Dato pendiente",1000+ROW()/10000,IF(M119="Fuera de plazo",N119+ROW()/10000,""))</f>
        <v/>
      </c>
      <c r="W119" s="30" t="str">
        <f aca="false">IF(T119="","",ROW())</f>
        <v/>
      </c>
    </row>
    <row r="120" customFormat="false" ht="15" hidden="false" customHeight="false" outlineLevel="0" collapsed="false">
      <c r="A120" s="13"/>
      <c r="B120" s="13"/>
      <c r="C120" s="28"/>
      <c r="D120" s="13"/>
      <c r="E120" s="13"/>
      <c r="F120" s="28"/>
      <c r="G120" s="28"/>
      <c r="H120" s="21"/>
      <c r="I120" s="21"/>
      <c r="J120" s="13"/>
      <c r="K120" s="13" t="str">
        <f aca="false">IF(A120="","",IFERROR(INDEX(Clientes!$B$2:$B$200,MATCH(B120,Clientes!$A$2:$A$200,0)),"Cliente no registrado"))</f>
        <v/>
      </c>
      <c r="L120" s="13" t="str">
        <f aca="false">IF(A120="","",IF(OR(J120="Entregado",J120="Anulado"),"No","Sí"))</f>
        <v/>
      </c>
      <c r="M120" s="13" t="str">
        <f aca="false">IF(A120="","",IF(J120="Entregado","Entregado",IF(J120="Anulado","Anulado",IF(F120="","Dato pendiente",IF(F120&lt;Control!$C$4,"Fuera de plazo","En plazo")))))</f>
        <v/>
      </c>
      <c r="N120" s="13" t="str">
        <f aca="false">IF(M120="Fuera de plazo",Control!$C$4-F120,"")</f>
        <v/>
      </c>
      <c r="O120" s="13" t="str">
        <f aca="false">IF(M120="Fuera de plazo",IF(J120="Listo para recoger","Cliente (no recoge)","Tienda o proveedor"),"")</f>
        <v/>
      </c>
      <c r="P120" s="13" t="str">
        <f aca="false">IF(A120="","",COUNTIF(Incidencias!$B$2:$B$151,A120))</f>
        <v/>
      </c>
      <c r="Q120" s="13" t="str">
        <f aca="false">IF(A120="","",COUNTIFS(Incidencias!$B$2:$B$151,A120,Incidencias!$F$2:$F$151,"Abierta"))</f>
        <v/>
      </c>
      <c r="R120" s="21" t="str">
        <f aca="false">IF(L120="Sí",H120-I120,IF(A120="","",0))</f>
        <v/>
      </c>
      <c r="S120" s="13" t="str">
        <f aca="false">IF(AND(J120="Entregado",F120&lt;&gt;"",G120&lt;&gt;""),IF(G120&lt;=F120,"Sí","No"),"")</f>
        <v/>
      </c>
      <c r="T120" s="13" t="str">
        <f aca="false">IF(A120="","",IF(K120="Cliente no registrado","Cliente sin dar de alta",IF(F120="","Falta fecha prevista",IF(AND(J120="Entregado",G120=""),"Entregado sin fecha de entrega",IF(ISNA(MATCH(J120,Inicio!$Z$1:$Z$6,0)),"Estado no reconocido",IF(F120&lt;C120,"Prevista anterior al pedido",IF(AND(G120&lt;&gt;"",G120&lt;C120),"Entrega anterior al pedido","")))))))</f>
        <v/>
      </c>
      <c r="U120" s="13" t="str">
        <f aca="false">IF(L120&lt;&gt;"Sí","",IF(M120="Dato pendiente","Poner fecha prevista y avisar al cliente",IF(M120="En plazo","Seguimiento normal",IF(J120="Listo para recoger","Recordar la recogida al cliente",IF(J120="Esperando pieza","Pedir fecha al proveedor y avisar al cliente",IF(J120="En taller","Revisar con el taller","Confirmar el pedido con el proveedor"))))))</f>
        <v/>
      </c>
      <c r="V120" s="29" t="str">
        <f aca="false">IF(M120="Dato pendiente",1000+ROW()/10000,IF(M120="Fuera de plazo",N120+ROW()/10000,""))</f>
        <v/>
      </c>
      <c r="W120" s="30" t="str">
        <f aca="false">IF(T120="","",ROW())</f>
        <v/>
      </c>
    </row>
    <row r="121" customFormat="false" ht="15" hidden="false" customHeight="false" outlineLevel="0" collapsed="false">
      <c r="A121" s="13"/>
      <c r="B121" s="13"/>
      <c r="C121" s="28"/>
      <c r="D121" s="13"/>
      <c r="E121" s="13"/>
      <c r="F121" s="28"/>
      <c r="G121" s="28"/>
      <c r="H121" s="21"/>
      <c r="I121" s="21"/>
      <c r="J121" s="13"/>
      <c r="K121" s="13" t="str">
        <f aca="false">IF(A121="","",IFERROR(INDEX(Clientes!$B$2:$B$200,MATCH(B121,Clientes!$A$2:$A$200,0)),"Cliente no registrado"))</f>
        <v/>
      </c>
      <c r="L121" s="13" t="str">
        <f aca="false">IF(A121="","",IF(OR(J121="Entregado",J121="Anulado"),"No","Sí"))</f>
        <v/>
      </c>
      <c r="M121" s="13" t="str">
        <f aca="false">IF(A121="","",IF(J121="Entregado","Entregado",IF(J121="Anulado","Anulado",IF(F121="","Dato pendiente",IF(F121&lt;Control!$C$4,"Fuera de plazo","En plazo")))))</f>
        <v/>
      </c>
      <c r="N121" s="13" t="str">
        <f aca="false">IF(M121="Fuera de plazo",Control!$C$4-F121,"")</f>
        <v/>
      </c>
      <c r="O121" s="13" t="str">
        <f aca="false">IF(M121="Fuera de plazo",IF(J121="Listo para recoger","Cliente (no recoge)","Tienda o proveedor"),"")</f>
        <v/>
      </c>
      <c r="P121" s="13" t="str">
        <f aca="false">IF(A121="","",COUNTIF(Incidencias!$B$2:$B$151,A121))</f>
        <v/>
      </c>
      <c r="Q121" s="13" t="str">
        <f aca="false">IF(A121="","",COUNTIFS(Incidencias!$B$2:$B$151,A121,Incidencias!$F$2:$F$151,"Abierta"))</f>
        <v/>
      </c>
      <c r="R121" s="21" t="str">
        <f aca="false">IF(L121="Sí",H121-I121,IF(A121="","",0))</f>
        <v/>
      </c>
      <c r="S121" s="13" t="str">
        <f aca="false">IF(AND(J121="Entregado",F121&lt;&gt;"",G121&lt;&gt;""),IF(G121&lt;=F121,"Sí","No"),"")</f>
        <v/>
      </c>
      <c r="T121" s="13" t="str">
        <f aca="false">IF(A121="","",IF(K121="Cliente no registrado","Cliente sin dar de alta",IF(F121="","Falta fecha prevista",IF(AND(J121="Entregado",G121=""),"Entregado sin fecha de entrega",IF(ISNA(MATCH(J121,Inicio!$Z$1:$Z$6,0)),"Estado no reconocido",IF(F121&lt;C121,"Prevista anterior al pedido",IF(AND(G121&lt;&gt;"",G121&lt;C121),"Entrega anterior al pedido","")))))))</f>
        <v/>
      </c>
      <c r="U121" s="13" t="str">
        <f aca="false">IF(L121&lt;&gt;"Sí","",IF(M121="Dato pendiente","Poner fecha prevista y avisar al cliente",IF(M121="En plazo","Seguimiento normal",IF(J121="Listo para recoger","Recordar la recogida al cliente",IF(J121="Esperando pieza","Pedir fecha al proveedor y avisar al cliente",IF(J121="En taller","Revisar con el taller","Confirmar el pedido con el proveedor"))))))</f>
        <v/>
      </c>
      <c r="V121" s="29" t="str">
        <f aca="false">IF(M121="Dato pendiente",1000+ROW()/10000,IF(M121="Fuera de plazo",N121+ROW()/10000,""))</f>
        <v/>
      </c>
      <c r="W121" s="30" t="str">
        <f aca="false">IF(T121="","",ROW())</f>
        <v/>
      </c>
    </row>
    <row r="122" customFormat="false" ht="15" hidden="false" customHeight="false" outlineLevel="0" collapsed="false">
      <c r="A122" s="13"/>
      <c r="B122" s="13"/>
      <c r="C122" s="28"/>
      <c r="D122" s="13"/>
      <c r="E122" s="13"/>
      <c r="F122" s="28"/>
      <c r="G122" s="28"/>
      <c r="H122" s="21"/>
      <c r="I122" s="21"/>
      <c r="J122" s="13"/>
      <c r="K122" s="13" t="str">
        <f aca="false">IF(A122="","",IFERROR(INDEX(Clientes!$B$2:$B$200,MATCH(B122,Clientes!$A$2:$A$200,0)),"Cliente no registrado"))</f>
        <v/>
      </c>
      <c r="L122" s="13" t="str">
        <f aca="false">IF(A122="","",IF(OR(J122="Entregado",J122="Anulado"),"No","Sí"))</f>
        <v/>
      </c>
      <c r="M122" s="13" t="str">
        <f aca="false">IF(A122="","",IF(J122="Entregado","Entregado",IF(J122="Anulado","Anulado",IF(F122="","Dato pendiente",IF(F122&lt;Control!$C$4,"Fuera de plazo","En plazo")))))</f>
        <v/>
      </c>
      <c r="N122" s="13" t="str">
        <f aca="false">IF(M122="Fuera de plazo",Control!$C$4-F122,"")</f>
        <v/>
      </c>
      <c r="O122" s="13" t="str">
        <f aca="false">IF(M122="Fuera de plazo",IF(J122="Listo para recoger","Cliente (no recoge)","Tienda o proveedor"),"")</f>
        <v/>
      </c>
      <c r="P122" s="13" t="str">
        <f aca="false">IF(A122="","",COUNTIF(Incidencias!$B$2:$B$151,A122))</f>
        <v/>
      </c>
      <c r="Q122" s="13" t="str">
        <f aca="false">IF(A122="","",COUNTIFS(Incidencias!$B$2:$B$151,A122,Incidencias!$F$2:$F$151,"Abierta"))</f>
        <v/>
      </c>
      <c r="R122" s="21" t="str">
        <f aca="false">IF(L122="Sí",H122-I122,IF(A122="","",0))</f>
        <v/>
      </c>
      <c r="S122" s="13" t="str">
        <f aca="false">IF(AND(J122="Entregado",F122&lt;&gt;"",G122&lt;&gt;""),IF(G122&lt;=F122,"Sí","No"),"")</f>
        <v/>
      </c>
      <c r="T122" s="13" t="str">
        <f aca="false">IF(A122="","",IF(K122="Cliente no registrado","Cliente sin dar de alta",IF(F122="","Falta fecha prevista",IF(AND(J122="Entregado",G122=""),"Entregado sin fecha de entrega",IF(ISNA(MATCH(J122,Inicio!$Z$1:$Z$6,0)),"Estado no reconocido",IF(F122&lt;C122,"Prevista anterior al pedido",IF(AND(G122&lt;&gt;"",G122&lt;C122),"Entrega anterior al pedido","")))))))</f>
        <v/>
      </c>
      <c r="U122" s="13" t="str">
        <f aca="false">IF(L122&lt;&gt;"Sí","",IF(M122="Dato pendiente","Poner fecha prevista y avisar al cliente",IF(M122="En plazo","Seguimiento normal",IF(J122="Listo para recoger","Recordar la recogida al cliente",IF(J122="Esperando pieza","Pedir fecha al proveedor y avisar al cliente",IF(J122="En taller","Revisar con el taller","Confirmar el pedido con el proveedor"))))))</f>
        <v/>
      </c>
      <c r="V122" s="29" t="str">
        <f aca="false">IF(M122="Dato pendiente",1000+ROW()/10000,IF(M122="Fuera de plazo",N122+ROW()/10000,""))</f>
        <v/>
      </c>
      <c r="W122" s="30" t="str">
        <f aca="false">IF(T122="","",ROW())</f>
        <v/>
      </c>
    </row>
    <row r="123" customFormat="false" ht="15" hidden="false" customHeight="false" outlineLevel="0" collapsed="false">
      <c r="A123" s="13"/>
      <c r="B123" s="13"/>
      <c r="C123" s="28"/>
      <c r="D123" s="13"/>
      <c r="E123" s="13"/>
      <c r="F123" s="28"/>
      <c r="G123" s="28"/>
      <c r="H123" s="21"/>
      <c r="I123" s="21"/>
      <c r="J123" s="13"/>
      <c r="K123" s="13" t="str">
        <f aca="false">IF(A123="","",IFERROR(INDEX(Clientes!$B$2:$B$200,MATCH(B123,Clientes!$A$2:$A$200,0)),"Cliente no registrado"))</f>
        <v/>
      </c>
      <c r="L123" s="13" t="str">
        <f aca="false">IF(A123="","",IF(OR(J123="Entregado",J123="Anulado"),"No","Sí"))</f>
        <v/>
      </c>
      <c r="M123" s="13" t="str">
        <f aca="false">IF(A123="","",IF(J123="Entregado","Entregado",IF(J123="Anulado","Anulado",IF(F123="","Dato pendiente",IF(F123&lt;Control!$C$4,"Fuera de plazo","En plazo")))))</f>
        <v/>
      </c>
      <c r="N123" s="13" t="str">
        <f aca="false">IF(M123="Fuera de plazo",Control!$C$4-F123,"")</f>
        <v/>
      </c>
      <c r="O123" s="13" t="str">
        <f aca="false">IF(M123="Fuera de plazo",IF(J123="Listo para recoger","Cliente (no recoge)","Tienda o proveedor"),"")</f>
        <v/>
      </c>
      <c r="P123" s="13" t="str">
        <f aca="false">IF(A123="","",COUNTIF(Incidencias!$B$2:$B$151,A123))</f>
        <v/>
      </c>
      <c r="Q123" s="13" t="str">
        <f aca="false">IF(A123="","",COUNTIFS(Incidencias!$B$2:$B$151,A123,Incidencias!$F$2:$F$151,"Abierta"))</f>
        <v/>
      </c>
      <c r="R123" s="21" t="str">
        <f aca="false">IF(L123="Sí",H123-I123,IF(A123="","",0))</f>
        <v/>
      </c>
      <c r="S123" s="13" t="str">
        <f aca="false">IF(AND(J123="Entregado",F123&lt;&gt;"",G123&lt;&gt;""),IF(G123&lt;=F123,"Sí","No"),"")</f>
        <v/>
      </c>
      <c r="T123" s="13" t="str">
        <f aca="false">IF(A123="","",IF(K123="Cliente no registrado","Cliente sin dar de alta",IF(F123="","Falta fecha prevista",IF(AND(J123="Entregado",G123=""),"Entregado sin fecha de entrega",IF(ISNA(MATCH(J123,Inicio!$Z$1:$Z$6,0)),"Estado no reconocido",IF(F123&lt;C123,"Prevista anterior al pedido",IF(AND(G123&lt;&gt;"",G123&lt;C123),"Entrega anterior al pedido","")))))))</f>
        <v/>
      </c>
      <c r="U123" s="13" t="str">
        <f aca="false">IF(L123&lt;&gt;"Sí","",IF(M123="Dato pendiente","Poner fecha prevista y avisar al cliente",IF(M123="En plazo","Seguimiento normal",IF(J123="Listo para recoger","Recordar la recogida al cliente",IF(J123="Esperando pieza","Pedir fecha al proveedor y avisar al cliente",IF(J123="En taller","Revisar con el taller","Confirmar el pedido con el proveedor"))))))</f>
        <v/>
      </c>
      <c r="V123" s="29" t="str">
        <f aca="false">IF(M123="Dato pendiente",1000+ROW()/10000,IF(M123="Fuera de plazo",N123+ROW()/10000,""))</f>
        <v/>
      </c>
      <c r="W123" s="30" t="str">
        <f aca="false">IF(T123="","",ROW())</f>
        <v/>
      </c>
    </row>
    <row r="124" customFormat="false" ht="15" hidden="false" customHeight="false" outlineLevel="0" collapsed="false">
      <c r="A124" s="13"/>
      <c r="B124" s="13"/>
      <c r="C124" s="28"/>
      <c r="D124" s="13"/>
      <c r="E124" s="13"/>
      <c r="F124" s="28"/>
      <c r="G124" s="28"/>
      <c r="H124" s="21"/>
      <c r="I124" s="21"/>
      <c r="J124" s="13"/>
      <c r="K124" s="13" t="str">
        <f aca="false">IF(A124="","",IFERROR(INDEX(Clientes!$B$2:$B$200,MATCH(B124,Clientes!$A$2:$A$200,0)),"Cliente no registrado"))</f>
        <v/>
      </c>
      <c r="L124" s="13" t="str">
        <f aca="false">IF(A124="","",IF(OR(J124="Entregado",J124="Anulado"),"No","Sí"))</f>
        <v/>
      </c>
      <c r="M124" s="13" t="str">
        <f aca="false">IF(A124="","",IF(J124="Entregado","Entregado",IF(J124="Anulado","Anulado",IF(F124="","Dato pendiente",IF(F124&lt;Control!$C$4,"Fuera de plazo","En plazo")))))</f>
        <v/>
      </c>
      <c r="N124" s="13" t="str">
        <f aca="false">IF(M124="Fuera de plazo",Control!$C$4-F124,"")</f>
        <v/>
      </c>
      <c r="O124" s="13" t="str">
        <f aca="false">IF(M124="Fuera de plazo",IF(J124="Listo para recoger","Cliente (no recoge)","Tienda o proveedor"),"")</f>
        <v/>
      </c>
      <c r="P124" s="13" t="str">
        <f aca="false">IF(A124="","",COUNTIF(Incidencias!$B$2:$B$151,A124))</f>
        <v/>
      </c>
      <c r="Q124" s="13" t="str">
        <f aca="false">IF(A124="","",COUNTIFS(Incidencias!$B$2:$B$151,A124,Incidencias!$F$2:$F$151,"Abierta"))</f>
        <v/>
      </c>
      <c r="R124" s="21" t="str">
        <f aca="false">IF(L124="Sí",H124-I124,IF(A124="","",0))</f>
        <v/>
      </c>
      <c r="S124" s="13" t="str">
        <f aca="false">IF(AND(J124="Entregado",F124&lt;&gt;"",G124&lt;&gt;""),IF(G124&lt;=F124,"Sí","No"),"")</f>
        <v/>
      </c>
      <c r="T124" s="13" t="str">
        <f aca="false">IF(A124="","",IF(K124="Cliente no registrado","Cliente sin dar de alta",IF(F124="","Falta fecha prevista",IF(AND(J124="Entregado",G124=""),"Entregado sin fecha de entrega",IF(ISNA(MATCH(J124,Inicio!$Z$1:$Z$6,0)),"Estado no reconocido",IF(F124&lt;C124,"Prevista anterior al pedido",IF(AND(G124&lt;&gt;"",G124&lt;C124),"Entrega anterior al pedido","")))))))</f>
        <v/>
      </c>
      <c r="U124" s="13" t="str">
        <f aca="false">IF(L124&lt;&gt;"Sí","",IF(M124="Dato pendiente","Poner fecha prevista y avisar al cliente",IF(M124="En plazo","Seguimiento normal",IF(J124="Listo para recoger","Recordar la recogida al cliente",IF(J124="Esperando pieza","Pedir fecha al proveedor y avisar al cliente",IF(J124="En taller","Revisar con el taller","Confirmar el pedido con el proveedor"))))))</f>
        <v/>
      </c>
      <c r="V124" s="29" t="str">
        <f aca="false">IF(M124="Dato pendiente",1000+ROW()/10000,IF(M124="Fuera de plazo",N124+ROW()/10000,""))</f>
        <v/>
      </c>
      <c r="W124" s="30" t="str">
        <f aca="false">IF(T124="","",ROW())</f>
        <v/>
      </c>
    </row>
    <row r="125" customFormat="false" ht="15" hidden="false" customHeight="false" outlineLevel="0" collapsed="false">
      <c r="A125" s="13"/>
      <c r="B125" s="13"/>
      <c r="C125" s="28"/>
      <c r="D125" s="13"/>
      <c r="E125" s="13"/>
      <c r="F125" s="28"/>
      <c r="G125" s="28"/>
      <c r="H125" s="21"/>
      <c r="I125" s="21"/>
      <c r="J125" s="13"/>
      <c r="K125" s="13" t="str">
        <f aca="false">IF(A125="","",IFERROR(INDEX(Clientes!$B$2:$B$200,MATCH(B125,Clientes!$A$2:$A$200,0)),"Cliente no registrado"))</f>
        <v/>
      </c>
      <c r="L125" s="13" t="str">
        <f aca="false">IF(A125="","",IF(OR(J125="Entregado",J125="Anulado"),"No","Sí"))</f>
        <v/>
      </c>
      <c r="M125" s="13" t="str">
        <f aca="false">IF(A125="","",IF(J125="Entregado","Entregado",IF(J125="Anulado","Anulado",IF(F125="","Dato pendiente",IF(F125&lt;Control!$C$4,"Fuera de plazo","En plazo")))))</f>
        <v/>
      </c>
      <c r="N125" s="13" t="str">
        <f aca="false">IF(M125="Fuera de plazo",Control!$C$4-F125,"")</f>
        <v/>
      </c>
      <c r="O125" s="13" t="str">
        <f aca="false">IF(M125="Fuera de plazo",IF(J125="Listo para recoger","Cliente (no recoge)","Tienda o proveedor"),"")</f>
        <v/>
      </c>
      <c r="P125" s="13" t="str">
        <f aca="false">IF(A125="","",COUNTIF(Incidencias!$B$2:$B$151,A125))</f>
        <v/>
      </c>
      <c r="Q125" s="13" t="str">
        <f aca="false">IF(A125="","",COUNTIFS(Incidencias!$B$2:$B$151,A125,Incidencias!$F$2:$F$151,"Abierta"))</f>
        <v/>
      </c>
      <c r="R125" s="21" t="str">
        <f aca="false">IF(L125="Sí",H125-I125,IF(A125="","",0))</f>
        <v/>
      </c>
      <c r="S125" s="13" t="str">
        <f aca="false">IF(AND(J125="Entregado",F125&lt;&gt;"",G125&lt;&gt;""),IF(G125&lt;=F125,"Sí","No"),"")</f>
        <v/>
      </c>
      <c r="T125" s="13" t="str">
        <f aca="false">IF(A125="","",IF(K125="Cliente no registrado","Cliente sin dar de alta",IF(F125="","Falta fecha prevista",IF(AND(J125="Entregado",G125=""),"Entregado sin fecha de entrega",IF(ISNA(MATCH(J125,Inicio!$Z$1:$Z$6,0)),"Estado no reconocido",IF(F125&lt;C125,"Prevista anterior al pedido",IF(AND(G125&lt;&gt;"",G125&lt;C125),"Entrega anterior al pedido","")))))))</f>
        <v/>
      </c>
      <c r="U125" s="13" t="str">
        <f aca="false">IF(L125&lt;&gt;"Sí","",IF(M125="Dato pendiente","Poner fecha prevista y avisar al cliente",IF(M125="En plazo","Seguimiento normal",IF(J125="Listo para recoger","Recordar la recogida al cliente",IF(J125="Esperando pieza","Pedir fecha al proveedor y avisar al cliente",IF(J125="En taller","Revisar con el taller","Confirmar el pedido con el proveedor"))))))</f>
        <v/>
      </c>
      <c r="V125" s="29" t="str">
        <f aca="false">IF(M125="Dato pendiente",1000+ROW()/10000,IF(M125="Fuera de plazo",N125+ROW()/10000,""))</f>
        <v/>
      </c>
      <c r="W125" s="30" t="str">
        <f aca="false">IF(T125="","",ROW())</f>
        <v/>
      </c>
    </row>
    <row r="126" customFormat="false" ht="15" hidden="false" customHeight="false" outlineLevel="0" collapsed="false">
      <c r="A126" s="13"/>
      <c r="B126" s="13"/>
      <c r="C126" s="28"/>
      <c r="D126" s="13"/>
      <c r="E126" s="13"/>
      <c r="F126" s="28"/>
      <c r="G126" s="28"/>
      <c r="H126" s="21"/>
      <c r="I126" s="21"/>
      <c r="J126" s="13"/>
      <c r="K126" s="13" t="str">
        <f aca="false">IF(A126="","",IFERROR(INDEX(Clientes!$B$2:$B$200,MATCH(B126,Clientes!$A$2:$A$200,0)),"Cliente no registrado"))</f>
        <v/>
      </c>
      <c r="L126" s="13" t="str">
        <f aca="false">IF(A126="","",IF(OR(J126="Entregado",J126="Anulado"),"No","Sí"))</f>
        <v/>
      </c>
      <c r="M126" s="13" t="str">
        <f aca="false">IF(A126="","",IF(J126="Entregado","Entregado",IF(J126="Anulado","Anulado",IF(F126="","Dato pendiente",IF(F126&lt;Control!$C$4,"Fuera de plazo","En plazo")))))</f>
        <v/>
      </c>
      <c r="N126" s="13" t="str">
        <f aca="false">IF(M126="Fuera de plazo",Control!$C$4-F126,"")</f>
        <v/>
      </c>
      <c r="O126" s="13" t="str">
        <f aca="false">IF(M126="Fuera de plazo",IF(J126="Listo para recoger","Cliente (no recoge)","Tienda o proveedor"),"")</f>
        <v/>
      </c>
      <c r="P126" s="13" t="str">
        <f aca="false">IF(A126="","",COUNTIF(Incidencias!$B$2:$B$151,A126))</f>
        <v/>
      </c>
      <c r="Q126" s="13" t="str">
        <f aca="false">IF(A126="","",COUNTIFS(Incidencias!$B$2:$B$151,A126,Incidencias!$F$2:$F$151,"Abierta"))</f>
        <v/>
      </c>
      <c r="R126" s="21" t="str">
        <f aca="false">IF(L126="Sí",H126-I126,IF(A126="","",0))</f>
        <v/>
      </c>
      <c r="S126" s="13" t="str">
        <f aca="false">IF(AND(J126="Entregado",F126&lt;&gt;"",G126&lt;&gt;""),IF(G126&lt;=F126,"Sí","No"),"")</f>
        <v/>
      </c>
      <c r="T126" s="13" t="str">
        <f aca="false">IF(A126="","",IF(K126="Cliente no registrado","Cliente sin dar de alta",IF(F126="","Falta fecha prevista",IF(AND(J126="Entregado",G126=""),"Entregado sin fecha de entrega",IF(ISNA(MATCH(J126,Inicio!$Z$1:$Z$6,0)),"Estado no reconocido",IF(F126&lt;C126,"Prevista anterior al pedido",IF(AND(G126&lt;&gt;"",G126&lt;C126),"Entrega anterior al pedido","")))))))</f>
        <v/>
      </c>
      <c r="U126" s="13" t="str">
        <f aca="false">IF(L126&lt;&gt;"Sí","",IF(M126="Dato pendiente","Poner fecha prevista y avisar al cliente",IF(M126="En plazo","Seguimiento normal",IF(J126="Listo para recoger","Recordar la recogida al cliente",IF(J126="Esperando pieza","Pedir fecha al proveedor y avisar al cliente",IF(J126="En taller","Revisar con el taller","Confirmar el pedido con el proveedor"))))))</f>
        <v/>
      </c>
      <c r="V126" s="29" t="str">
        <f aca="false">IF(M126="Dato pendiente",1000+ROW()/10000,IF(M126="Fuera de plazo",N126+ROW()/10000,""))</f>
        <v/>
      </c>
      <c r="W126" s="30" t="str">
        <f aca="false">IF(T126="","",ROW())</f>
        <v/>
      </c>
    </row>
    <row r="127" customFormat="false" ht="15" hidden="false" customHeight="false" outlineLevel="0" collapsed="false">
      <c r="A127" s="13"/>
      <c r="B127" s="13"/>
      <c r="C127" s="28"/>
      <c r="D127" s="13"/>
      <c r="E127" s="13"/>
      <c r="F127" s="28"/>
      <c r="G127" s="28"/>
      <c r="H127" s="21"/>
      <c r="I127" s="21"/>
      <c r="J127" s="13"/>
      <c r="K127" s="13" t="str">
        <f aca="false">IF(A127="","",IFERROR(INDEX(Clientes!$B$2:$B$200,MATCH(B127,Clientes!$A$2:$A$200,0)),"Cliente no registrado"))</f>
        <v/>
      </c>
      <c r="L127" s="13" t="str">
        <f aca="false">IF(A127="","",IF(OR(J127="Entregado",J127="Anulado"),"No","Sí"))</f>
        <v/>
      </c>
      <c r="M127" s="13" t="str">
        <f aca="false">IF(A127="","",IF(J127="Entregado","Entregado",IF(J127="Anulado","Anulado",IF(F127="","Dato pendiente",IF(F127&lt;Control!$C$4,"Fuera de plazo","En plazo")))))</f>
        <v/>
      </c>
      <c r="N127" s="13" t="str">
        <f aca="false">IF(M127="Fuera de plazo",Control!$C$4-F127,"")</f>
        <v/>
      </c>
      <c r="O127" s="13" t="str">
        <f aca="false">IF(M127="Fuera de plazo",IF(J127="Listo para recoger","Cliente (no recoge)","Tienda o proveedor"),"")</f>
        <v/>
      </c>
      <c r="P127" s="13" t="str">
        <f aca="false">IF(A127="","",COUNTIF(Incidencias!$B$2:$B$151,A127))</f>
        <v/>
      </c>
      <c r="Q127" s="13" t="str">
        <f aca="false">IF(A127="","",COUNTIFS(Incidencias!$B$2:$B$151,A127,Incidencias!$F$2:$F$151,"Abierta"))</f>
        <v/>
      </c>
      <c r="R127" s="21" t="str">
        <f aca="false">IF(L127="Sí",H127-I127,IF(A127="","",0))</f>
        <v/>
      </c>
      <c r="S127" s="13" t="str">
        <f aca="false">IF(AND(J127="Entregado",F127&lt;&gt;"",G127&lt;&gt;""),IF(G127&lt;=F127,"Sí","No"),"")</f>
        <v/>
      </c>
      <c r="T127" s="13" t="str">
        <f aca="false">IF(A127="","",IF(K127="Cliente no registrado","Cliente sin dar de alta",IF(F127="","Falta fecha prevista",IF(AND(J127="Entregado",G127=""),"Entregado sin fecha de entrega",IF(ISNA(MATCH(J127,Inicio!$Z$1:$Z$6,0)),"Estado no reconocido",IF(F127&lt;C127,"Prevista anterior al pedido",IF(AND(G127&lt;&gt;"",G127&lt;C127),"Entrega anterior al pedido","")))))))</f>
        <v/>
      </c>
      <c r="U127" s="13" t="str">
        <f aca="false">IF(L127&lt;&gt;"Sí","",IF(M127="Dato pendiente","Poner fecha prevista y avisar al cliente",IF(M127="En plazo","Seguimiento normal",IF(J127="Listo para recoger","Recordar la recogida al cliente",IF(J127="Esperando pieza","Pedir fecha al proveedor y avisar al cliente",IF(J127="En taller","Revisar con el taller","Confirmar el pedido con el proveedor"))))))</f>
        <v/>
      </c>
      <c r="V127" s="29" t="str">
        <f aca="false">IF(M127="Dato pendiente",1000+ROW()/10000,IF(M127="Fuera de plazo",N127+ROW()/10000,""))</f>
        <v/>
      </c>
      <c r="W127" s="30" t="str">
        <f aca="false">IF(T127="","",ROW())</f>
        <v/>
      </c>
    </row>
    <row r="128" customFormat="false" ht="15" hidden="false" customHeight="false" outlineLevel="0" collapsed="false">
      <c r="A128" s="13"/>
      <c r="B128" s="13"/>
      <c r="C128" s="28"/>
      <c r="D128" s="13"/>
      <c r="E128" s="13"/>
      <c r="F128" s="28"/>
      <c r="G128" s="28"/>
      <c r="H128" s="21"/>
      <c r="I128" s="21"/>
      <c r="J128" s="13"/>
      <c r="K128" s="13" t="str">
        <f aca="false">IF(A128="","",IFERROR(INDEX(Clientes!$B$2:$B$200,MATCH(B128,Clientes!$A$2:$A$200,0)),"Cliente no registrado"))</f>
        <v/>
      </c>
      <c r="L128" s="13" t="str">
        <f aca="false">IF(A128="","",IF(OR(J128="Entregado",J128="Anulado"),"No","Sí"))</f>
        <v/>
      </c>
      <c r="M128" s="13" t="str">
        <f aca="false">IF(A128="","",IF(J128="Entregado","Entregado",IF(J128="Anulado","Anulado",IF(F128="","Dato pendiente",IF(F128&lt;Control!$C$4,"Fuera de plazo","En plazo")))))</f>
        <v/>
      </c>
      <c r="N128" s="13" t="str">
        <f aca="false">IF(M128="Fuera de plazo",Control!$C$4-F128,"")</f>
        <v/>
      </c>
      <c r="O128" s="13" t="str">
        <f aca="false">IF(M128="Fuera de plazo",IF(J128="Listo para recoger","Cliente (no recoge)","Tienda o proveedor"),"")</f>
        <v/>
      </c>
      <c r="P128" s="13" t="str">
        <f aca="false">IF(A128="","",COUNTIF(Incidencias!$B$2:$B$151,A128))</f>
        <v/>
      </c>
      <c r="Q128" s="13" t="str">
        <f aca="false">IF(A128="","",COUNTIFS(Incidencias!$B$2:$B$151,A128,Incidencias!$F$2:$F$151,"Abierta"))</f>
        <v/>
      </c>
      <c r="R128" s="21" t="str">
        <f aca="false">IF(L128="Sí",H128-I128,IF(A128="","",0))</f>
        <v/>
      </c>
      <c r="S128" s="13" t="str">
        <f aca="false">IF(AND(J128="Entregado",F128&lt;&gt;"",G128&lt;&gt;""),IF(G128&lt;=F128,"Sí","No"),"")</f>
        <v/>
      </c>
      <c r="T128" s="13" t="str">
        <f aca="false">IF(A128="","",IF(K128="Cliente no registrado","Cliente sin dar de alta",IF(F128="","Falta fecha prevista",IF(AND(J128="Entregado",G128=""),"Entregado sin fecha de entrega",IF(ISNA(MATCH(J128,Inicio!$Z$1:$Z$6,0)),"Estado no reconocido",IF(F128&lt;C128,"Prevista anterior al pedido",IF(AND(G128&lt;&gt;"",G128&lt;C128),"Entrega anterior al pedido","")))))))</f>
        <v/>
      </c>
      <c r="U128" s="13" t="str">
        <f aca="false">IF(L128&lt;&gt;"Sí","",IF(M128="Dato pendiente","Poner fecha prevista y avisar al cliente",IF(M128="En plazo","Seguimiento normal",IF(J128="Listo para recoger","Recordar la recogida al cliente",IF(J128="Esperando pieza","Pedir fecha al proveedor y avisar al cliente",IF(J128="En taller","Revisar con el taller","Confirmar el pedido con el proveedor"))))))</f>
        <v/>
      </c>
      <c r="V128" s="29" t="str">
        <f aca="false">IF(M128="Dato pendiente",1000+ROW()/10000,IF(M128="Fuera de plazo",N128+ROW()/10000,""))</f>
        <v/>
      </c>
      <c r="W128" s="30" t="str">
        <f aca="false">IF(T128="","",ROW())</f>
        <v/>
      </c>
    </row>
    <row r="129" customFormat="false" ht="15" hidden="false" customHeight="false" outlineLevel="0" collapsed="false">
      <c r="A129" s="13"/>
      <c r="B129" s="13"/>
      <c r="C129" s="28"/>
      <c r="D129" s="13"/>
      <c r="E129" s="13"/>
      <c r="F129" s="28"/>
      <c r="G129" s="28"/>
      <c r="H129" s="21"/>
      <c r="I129" s="21"/>
      <c r="J129" s="13"/>
      <c r="K129" s="13" t="str">
        <f aca="false">IF(A129="","",IFERROR(INDEX(Clientes!$B$2:$B$200,MATCH(B129,Clientes!$A$2:$A$200,0)),"Cliente no registrado"))</f>
        <v/>
      </c>
      <c r="L129" s="13" t="str">
        <f aca="false">IF(A129="","",IF(OR(J129="Entregado",J129="Anulado"),"No","Sí"))</f>
        <v/>
      </c>
      <c r="M129" s="13" t="str">
        <f aca="false">IF(A129="","",IF(J129="Entregado","Entregado",IF(J129="Anulado","Anulado",IF(F129="","Dato pendiente",IF(F129&lt;Control!$C$4,"Fuera de plazo","En plazo")))))</f>
        <v/>
      </c>
      <c r="N129" s="13" t="str">
        <f aca="false">IF(M129="Fuera de plazo",Control!$C$4-F129,"")</f>
        <v/>
      </c>
      <c r="O129" s="13" t="str">
        <f aca="false">IF(M129="Fuera de plazo",IF(J129="Listo para recoger","Cliente (no recoge)","Tienda o proveedor"),"")</f>
        <v/>
      </c>
      <c r="P129" s="13" t="str">
        <f aca="false">IF(A129="","",COUNTIF(Incidencias!$B$2:$B$151,A129))</f>
        <v/>
      </c>
      <c r="Q129" s="13" t="str">
        <f aca="false">IF(A129="","",COUNTIFS(Incidencias!$B$2:$B$151,A129,Incidencias!$F$2:$F$151,"Abierta"))</f>
        <v/>
      </c>
      <c r="R129" s="21" t="str">
        <f aca="false">IF(L129="Sí",H129-I129,IF(A129="","",0))</f>
        <v/>
      </c>
      <c r="S129" s="13" t="str">
        <f aca="false">IF(AND(J129="Entregado",F129&lt;&gt;"",G129&lt;&gt;""),IF(G129&lt;=F129,"Sí","No"),"")</f>
        <v/>
      </c>
      <c r="T129" s="13" t="str">
        <f aca="false">IF(A129="","",IF(K129="Cliente no registrado","Cliente sin dar de alta",IF(F129="","Falta fecha prevista",IF(AND(J129="Entregado",G129=""),"Entregado sin fecha de entrega",IF(ISNA(MATCH(J129,Inicio!$Z$1:$Z$6,0)),"Estado no reconocido",IF(F129&lt;C129,"Prevista anterior al pedido",IF(AND(G129&lt;&gt;"",G129&lt;C129),"Entrega anterior al pedido","")))))))</f>
        <v/>
      </c>
      <c r="U129" s="13" t="str">
        <f aca="false">IF(L129&lt;&gt;"Sí","",IF(M129="Dato pendiente","Poner fecha prevista y avisar al cliente",IF(M129="En plazo","Seguimiento normal",IF(J129="Listo para recoger","Recordar la recogida al cliente",IF(J129="Esperando pieza","Pedir fecha al proveedor y avisar al cliente",IF(J129="En taller","Revisar con el taller","Confirmar el pedido con el proveedor"))))))</f>
        <v/>
      </c>
      <c r="V129" s="29" t="str">
        <f aca="false">IF(M129="Dato pendiente",1000+ROW()/10000,IF(M129="Fuera de plazo",N129+ROW()/10000,""))</f>
        <v/>
      </c>
      <c r="W129" s="30" t="str">
        <f aca="false">IF(T129="","",ROW())</f>
        <v/>
      </c>
    </row>
    <row r="130" customFormat="false" ht="15" hidden="false" customHeight="false" outlineLevel="0" collapsed="false">
      <c r="A130" s="13"/>
      <c r="B130" s="13"/>
      <c r="C130" s="28"/>
      <c r="D130" s="13"/>
      <c r="E130" s="13"/>
      <c r="F130" s="28"/>
      <c r="G130" s="28"/>
      <c r="H130" s="21"/>
      <c r="I130" s="21"/>
      <c r="J130" s="13"/>
      <c r="K130" s="13" t="str">
        <f aca="false">IF(A130="","",IFERROR(INDEX(Clientes!$B$2:$B$200,MATCH(B130,Clientes!$A$2:$A$200,0)),"Cliente no registrado"))</f>
        <v/>
      </c>
      <c r="L130" s="13" t="str">
        <f aca="false">IF(A130="","",IF(OR(J130="Entregado",J130="Anulado"),"No","Sí"))</f>
        <v/>
      </c>
      <c r="M130" s="13" t="str">
        <f aca="false">IF(A130="","",IF(J130="Entregado","Entregado",IF(J130="Anulado","Anulado",IF(F130="","Dato pendiente",IF(F130&lt;Control!$C$4,"Fuera de plazo","En plazo")))))</f>
        <v/>
      </c>
      <c r="N130" s="13" t="str">
        <f aca="false">IF(M130="Fuera de plazo",Control!$C$4-F130,"")</f>
        <v/>
      </c>
      <c r="O130" s="13" t="str">
        <f aca="false">IF(M130="Fuera de plazo",IF(J130="Listo para recoger","Cliente (no recoge)","Tienda o proveedor"),"")</f>
        <v/>
      </c>
      <c r="P130" s="13" t="str">
        <f aca="false">IF(A130="","",COUNTIF(Incidencias!$B$2:$B$151,A130))</f>
        <v/>
      </c>
      <c r="Q130" s="13" t="str">
        <f aca="false">IF(A130="","",COUNTIFS(Incidencias!$B$2:$B$151,A130,Incidencias!$F$2:$F$151,"Abierta"))</f>
        <v/>
      </c>
      <c r="R130" s="21" t="str">
        <f aca="false">IF(L130="Sí",H130-I130,IF(A130="","",0))</f>
        <v/>
      </c>
      <c r="S130" s="13" t="str">
        <f aca="false">IF(AND(J130="Entregado",F130&lt;&gt;"",G130&lt;&gt;""),IF(G130&lt;=F130,"Sí","No"),"")</f>
        <v/>
      </c>
      <c r="T130" s="13" t="str">
        <f aca="false">IF(A130="","",IF(K130="Cliente no registrado","Cliente sin dar de alta",IF(F130="","Falta fecha prevista",IF(AND(J130="Entregado",G130=""),"Entregado sin fecha de entrega",IF(ISNA(MATCH(J130,Inicio!$Z$1:$Z$6,0)),"Estado no reconocido",IF(F130&lt;C130,"Prevista anterior al pedido",IF(AND(G130&lt;&gt;"",G130&lt;C130),"Entrega anterior al pedido","")))))))</f>
        <v/>
      </c>
      <c r="U130" s="13" t="str">
        <f aca="false">IF(L130&lt;&gt;"Sí","",IF(M130="Dato pendiente","Poner fecha prevista y avisar al cliente",IF(M130="En plazo","Seguimiento normal",IF(J130="Listo para recoger","Recordar la recogida al cliente",IF(J130="Esperando pieza","Pedir fecha al proveedor y avisar al cliente",IF(J130="En taller","Revisar con el taller","Confirmar el pedido con el proveedor"))))))</f>
        <v/>
      </c>
      <c r="V130" s="29" t="str">
        <f aca="false">IF(M130="Dato pendiente",1000+ROW()/10000,IF(M130="Fuera de plazo",N130+ROW()/10000,""))</f>
        <v/>
      </c>
      <c r="W130" s="30" t="str">
        <f aca="false">IF(T130="","",ROW())</f>
        <v/>
      </c>
    </row>
    <row r="131" customFormat="false" ht="15" hidden="false" customHeight="false" outlineLevel="0" collapsed="false">
      <c r="A131" s="13"/>
      <c r="B131" s="13"/>
      <c r="C131" s="28"/>
      <c r="D131" s="13"/>
      <c r="E131" s="13"/>
      <c r="F131" s="28"/>
      <c r="G131" s="28"/>
      <c r="H131" s="21"/>
      <c r="I131" s="21"/>
      <c r="J131" s="13"/>
      <c r="K131" s="13" t="str">
        <f aca="false">IF(A131="","",IFERROR(INDEX(Clientes!$B$2:$B$200,MATCH(B131,Clientes!$A$2:$A$200,0)),"Cliente no registrado"))</f>
        <v/>
      </c>
      <c r="L131" s="13" t="str">
        <f aca="false">IF(A131="","",IF(OR(J131="Entregado",J131="Anulado"),"No","Sí"))</f>
        <v/>
      </c>
      <c r="M131" s="13" t="str">
        <f aca="false">IF(A131="","",IF(J131="Entregado","Entregado",IF(J131="Anulado","Anulado",IF(F131="","Dato pendiente",IF(F131&lt;Control!$C$4,"Fuera de plazo","En plazo")))))</f>
        <v/>
      </c>
      <c r="N131" s="13" t="str">
        <f aca="false">IF(M131="Fuera de plazo",Control!$C$4-F131,"")</f>
        <v/>
      </c>
      <c r="O131" s="13" t="str">
        <f aca="false">IF(M131="Fuera de plazo",IF(J131="Listo para recoger","Cliente (no recoge)","Tienda o proveedor"),"")</f>
        <v/>
      </c>
      <c r="P131" s="13" t="str">
        <f aca="false">IF(A131="","",COUNTIF(Incidencias!$B$2:$B$151,A131))</f>
        <v/>
      </c>
      <c r="Q131" s="13" t="str">
        <f aca="false">IF(A131="","",COUNTIFS(Incidencias!$B$2:$B$151,A131,Incidencias!$F$2:$F$151,"Abierta"))</f>
        <v/>
      </c>
      <c r="R131" s="21" t="str">
        <f aca="false">IF(L131="Sí",H131-I131,IF(A131="","",0))</f>
        <v/>
      </c>
      <c r="S131" s="13" t="str">
        <f aca="false">IF(AND(J131="Entregado",F131&lt;&gt;"",G131&lt;&gt;""),IF(G131&lt;=F131,"Sí","No"),"")</f>
        <v/>
      </c>
      <c r="T131" s="13" t="str">
        <f aca="false">IF(A131="","",IF(K131="Cliente no registrado","Cliente sin dar de alta",IF(F131="","Falta fecha prevista",IF(AND(J131="Entregado",G131=""),"Entregado sin fecha de entrega",IF(ISNA(MATCH(J131,Inicio!$Z$1:$Z$6,0)),"Estado no reconocido",IF(F131&lt;C131,"Prevista anterior al pedido",IF(AND(G131&lt;&gt;"",G131&lt;C131),"Entrega anterior al pedido","")))))))</f>
        <v/>
      </c>
      <c r="U131" s="13" t="str">
        <f aca="false">IF(L131&lt;&gt;"Sí","",IF(M131="Dato pendiente","Poner fecha prevista y avisar al cliente",IF(M131="En plazo","Seguimiento normal",IF(J131="Listo para recoger","Recordar la recogida al cliente",IF(J131="Esperando pieza","Pedir fecha al proveedor y avisar al cliente",IF(J131="En taller","Revisar con el taller","Confirmar el pedido con el proveedor"))))))</f>
        <v/>
      </c>
      <c r="V131" s="29" t="str">
        <f aca="false">IF(M131="Dato pendiente",1000+ROW()/10000,IF(M131="Fuera de plazo",N131+ROW()/10000,""))</f>
        <v/>
      </c>
      <c r="W131" s="30" t="str">
        <f aca="false">IF(T131="","",ROW())</f>
        <v/>
      </c>
    </row>
    <row r="132" customFormat="false" ht="15" hidden="false" customHeight="false" outlineLevel="0" collapsed="false">
      <c r="A132" s="13"/>
      <c r="B132" s="13"/>
      <c r="C132" s="28"/>
      <c r="D132" s="13"/>
      <c r="E132" s="13"/>
      <c r="F132" s="28"/>
      <c r="G132" s="28"/>
      <c r="H132" s="21"/>
      <c r="I132" s="21"/>
      <c r="J132" s="13"/>
      <c r="K132" s="13" t="str">
        <f aca="false">IF(A132="","",IFERROR(INDEX(Clientes!$B$2:$B$200,MATCH(B132,Clientes!$A$2:$A$200,0)),"Cliente no registrado"))</f>
        <v/>
      </c>
      <c r="L132" s="13" t="str">
        <f aca="false">IF(A132="","",IF(OR(J132="Entregado",J132="Anulado"),"No","Sí"))</f>
        <v/>
      </c>
      <c r="M132" s="13" t="str">
        <f aca="false">IF(A132="","",IF(J132="Entregado","Entregado",IF(J132="Anulado","Anulado",IF(F132="","Dato pendiente",IF(F132&lt;Control!$C$4,"Fuera de plazo","En plazo")))))</f>
        <v/>
      </c>
      <c r="N132" s="13" t="str">
        <f aca="false">IF(M132="Fuera de plazo",Control!$C$4-F132,"")</f>
        <v/>
      </c>
      <c r="O132" s="13" t="str">
        <f aca="false">IF(M132="Fuera de plazo",IF(J132="Listo para recoger","Cliente (no recoge)","Tienda o proveedor"),"")</f>
        <v/>
      </c>
      <c r="P132" s="13" t="str">
        <f aca="false">IF(A132="","",COUNTIF(Incidencias!$B$2:$B$151,A132))</f>
        <v/>
      </c>
      <c r="Q132" s="13" t="str">
        <f aca="false">IF(A132="","",COUNTIFS(Incidencias!$B$2:$B$151,A132,Incidencias!$F$2:$F$151,"Abierta"))</f>
        <v/>
      </c>
      <c r="R132" s="21" t="str">
        <f aca="false">IF(L132="Sí",H132-I132,IF(A132="","",0))</f>
        <v/>
      </c>
      <c r="S132" s="13" t="str">
        <f aca="false">IF(AND(J132="Entregado",F132&lt;&gt;"",G132&lt;&gt;""),IF(G132&lt;=F132,"Sí","No"),"")</f>
        <v/>
      </c>
      <c r="T132" s="13" t="str">
        <f aca="false">IF(A132="","",IF(K132="Cliente no registrado","Cliente sin dar de alta",IF(F132="","Falta fecha prevista",IF(AND(J132="Entregado",G132=""),"Entregado sin fecha de entrega",IF(ISNA(MATCH(J132,Inicio!$Z$1:$Z$6,0)),"Estado no reconocido",IF(F132&lt;C132,"Prevista anterior al pedido",IF(AND(G132&lt;&gt;"",G132&lt;C132),"Entrega anterior al pedido","")))))))</f>
        <v/>
      </c>
      <c r="U132" s="13" t="str">
        <f aca="false">IF(L132&lt;&gt;"Sí","",IF(M132="Dato pendiente","Poner fecha prevista y avisar al cliente",IF(M132="En plazo","Seguimiento normal",IF(J132="Listo para recoger","Recordar la recogida al cliente",IF(J132="Esperando pieza","Pedir fecha al proveedor y avisar al cliente",IF(J132="En taller","Revisar con el taller","Confirmar el pedido con el proveedor"))))))</f>
        <v/>
      </c>
      <c r="V132" s="29" t="str">
        <f aca="false">IF(M132="Dato pendiente",1000+ROW()/10000,IF(M132="Fuera de plazo",N132+ROW()/10000,""))</f>
        <v/>
      </c>
      <c r="W132" s="30" t="str">
        <f aca="false">IF(T132="","",ROW())</f>
        <v/>
      </c>
    </row>
    <row r="133" customFormat="false" ht="15" hidden="false" customHeight="false" outlineLevel="0" collapsed="false">
      <c r="A133" s="13"/>
      <c r="B133" s="13"/>
      <c r="C133" s="28"/>
      <c r="D133" s="13"/>
      <c r="E133" s="13"/>
      <c r="F133" s="28"/>
      <c r="G133" s="28"/>
      <c r="H133" s="21"/>
      <c r="I133" s="21"/>
      <c r="J133" s="13"/>
      <c r="K133" s="13" t="str">
        <f aca="false">IF(A133="","",IFERROR(INDEX(Clientes!$B$2:$B$200,MATCH(B133,Clientes!$A$2:$A$200,0)),"Cliente no registrado"))</f>
        <v/>
      </c>
      <c r="L133" s="13" t="str">
        <f aca="false">IF(A133="","",IF(OR(J133="Entregado",J133="Anulado"),"No","Sí"))</f>
        <v/>
      </c>
      <c r="M133" s="13" t="str">
        <f aca="false">IF(A133="","",IF(J133="Entregado","Entregado",IF(J133="Anulado","Anulado",IF(F133="","Dato pendiente",IF(F133&lt;Control!$C$4,"Fuera de plazo","En plazo")))))</f>
        <v/>
      </c>
      <c r="N133" s="13" t="str">
        <f aca="false">IF(M133="Fuera de plazo",Control!$C$4-F133,"")</f>
        <v/>
      </c>
      <c r="O133" s="13" t="str">
        <f aca="false">IF(M133="Fuera de plazo",IF(J133="Listo para recoger","Cliente (no recoge)","Tienda o proveedor"),"")</f>
        <v/>
      </c>
      <c r="P133" s="13" t="str">
        <f aca="false">IF(A133="","",COUNTIF(Incidencias!$B$2:$B$151,A133))</f>
        <v/>
      </c>
      <c r="Q133" s="13" t="str">
        <f aca="false">IF(A133="","",COUNTIFS(Incidencias!$B$2:$B$151,A133,Incidencias!$F$2:$F$151,"Abierta"))</f>
        <v/>
      </c>
      <c r="R133" s="21" t="str">
        <f aca="false">IF(L133="Sí",H133-I133,IF(A133="","",0))</f>
        <v/>
      </c>
      <c r="S133" s="13" t="str">
        <f aca="false">IF(AND(J133="Entregado",F133&lt;&gt;"",G133&lt;&gt;""),IF(G133&lt;=F133,"Sí","No"),"")</f>
        <v/>
      </c>
      <c r="T133" s="13" t="str">
        <f aca="false">IF(A133="","",IF(K133="Cliente no registrado","Cliente sin dar de alta",IF(F133="","Falta fecha prevista",IF(AND(J133="Entregado",G133=""),"Entregado sin fecha de entrega",IF(ISNA(MATCH(J133,Inicio!$Z$1:$Z$6,0)),"Estado no reconocido",IF(F133&lt;C133,"Prevista anterior al pedido",IF(AND(G133&lt;&gt;"",G133&lt;C133),"Entrega anterior al pedido","")))))))</f>
        <v/>
      </c>
      <c r="U133" s="13" t="str">
        <f aca="false">IF(L133&lt;&gt;"Sí","",IF(M133="Dato pendiente","Poner fecha prevista y avisar al cliente",IF(M133="En plazo","Seguimiento normal",IF(J133="Listo para recoger","Recordar la recogida al cliente",IF(J133="Esperando pieza","Pedir fecha al proveedor y avisar al cliente",IF(J133="En taller","Revisar con el taller","Confirmar el pedido con el proveedor"))))))</f>
        <v/>
      </c>
      <c r="V133" s="29" t="str">
        <f aca="false">IF(M133="Dato pendiente",1000+ROW()/10000,IF(M133="Fuera de plazo",N133+ROW()/10000,""))</f>
        <v/>
      </c>
      <c r="W133" s="30" t="str">
        <f aca="false">IF(T133="","",ROW())</f>
        <v/>
      </c>
    </row>
    <row r="134" customFormat="false" ht="15" hidden="false" customHeight="false" outlineLevel="0" collapsed="false">
      <c r="A134" s="13"/>
      <c r="B134" s="13"/>
      <c r="C134" s="28"/>
      <c r="D134" s="13"/>
      <c r="E134" s="13"/>
      <c r="F134" s="28"/>
      <c r="G134" s="28"/>
      <c r="H134" s="21"/>
      <c r="I134" s="21"/>
      <c r="J134" s="13"/>
      <c r="K134" s="13" t="str">
        <f aca="false">IF(A134="","",IFERROR(INDEX(Clientes!$B$2:$B$200,MATCH(B134,Clientes!$A$2:$A$200,0)),"Cliente no registrado"))</f>
        <v/>
      </c>
      <c r="L134" s="13" t="str">
        <f aca="false">IF(A134="","",IF(OR(J134="Entregado",J134="Anulado"),"No","Sí"))</f>
        <v/>
      </c>
      <c r="M134" s="13" t="str">
        <f aca="false">IF(A134="","",IF(J134="Entregado","Entregado",IF(J134="Anulado","Anulado",IF(F134="","Dato pendiente",IF(F134&lt;Control!$C$4,"Fuera de plazo","En plazo")))))</f>
        <v/>
      </c>
      <c r="N134" s="13" t="str">
        <f aca="false">IF(M134="Fuera de plazo",Control!$C$4-F134,"")</f>
        <v/>
      </c>
      <c r="O134" s="13" t="str">
        <f aca="false">IF(M134="Fuera de plazo",IF(J134="Listo para recoger","Cliente (no recoge)","Tienda o proveedor"),"")</f>
        <v/>
      </c>
      <c r="P134" s="13" t="str">
        <f aca="false">IF(A134="","",COUNTIF(Incidencias!$B$2:$B$151,A134))</f>
        <v/>
      </c>
      <c r="Q134" s="13" t="str">
        <f aca="false">IF(A134="","",COUNTIFS(Incidencias!$B$2:$B$151,A134,Incidencias!$F$2:$F$151,"Abierta"))</f>
        <v/>
      </c>
      <c r="R134" s="21" t="str">
        <f aca="false">IF(L134="Sí",H134-I134,IF(A134="","",0))</f>
        <v/>
      </c>
      <c r="S134" s="13" t="str">
        <f aca="false">IF(AND(J134="Entregado",F134&lt;&gt;"",G134&lt;&gt;""),IF(G134&lt;=F134,"Sí","No"),"")</f>
        <v/>
      </c>
      <c r="T134" s="13" t="str">
        <f aca="false">IF(A134="","",IF(K134="Cliente no registrado","Cliente sin dar de alta",IF(F134="","Falta fecha prevista",IF(AND(J134="Entregado",G134=""),"Entregado sin fecha de entrega",IF(ISNA(MATCH(J134,Inicio!$Z$1:$Z$6,0)),"Estado no reconocido",IF(F134&lt;C134,"Prevista anterior al pedido",IF(AND(G134&lt;&gt;"",G134&lt;C134),"Entrega anterior al pedido","")))))))</f>
        <v/>
      </c>
      <c r="U134" s="13" t="str">
        <f aca="false">IF(L134&lt;&gt;"Sí","",IF(M134="Dato pendiente","Poner fecha prevista y avisar al cliente",IF(M134="En plazo","Seguimiento normal",IF(J134="Listo para recoger","Recordar la recogida al cliente",IF(J134="Esperando pieza","Pedir fecha al proveedor y avisar al cliente",IF(J134="En taller","Revisar con el taller","Confirmar el pedido con el proveedor"))))))</f>
        <v/>
      </c>
      <c r="V134" s="29" t="str">
        <f aca="false">IF(M134="Dato pendiente",1000+ROW()/10000,IF(M134="Fuera de plazo",N134+ROW()/10000,""))</f>
        <v/>
      </c>
      <c r="W134" s="30" t="str">
        <f aca="false">IF(T134="","",ROW())</f>
        <v/>
      </c>
    </row>
    <row r="135" customFormat="false" ht="15" hidden="false" customHeight="false" outlineLevel="0" collapsed="false">
      <c r="A135" s="13"/>
      <c r="B135" s="13"/>
      <c r="C135" s="28"/>
      <c r="D135" s="13"/>
      <c r="E135" s="13"/>
      <c r="F135" s="28"/>
      <c r="G135" s="28"/>
      <c r="H135" s="21"/>
      <c r="I135" s="21"/>
      <c r="J135" s="13"/>
      <c r="K135" s="13" t="str">
        <f aca="false">IF(A135="","",IFERROR(INDEX(Clientes!$B$2:$B$200,MATCH(B135,Clientes!$A$2:$A$200,0)),"Cliente no registrado"))</f>
        <v/>
      </c>
      <c r="L135" s="13" t="str">
        <f aca="false">IF(A135="","",IF(OR(J135="Entregado",J135="Anulado"),"No","Sí"))</f>
        <v/>
      </c>
      <c r="M135" s="13" t="str">
        <f aca="false">IF(A135="","",IF(J135="Entregado","Entregado",IF(J135="Anulado","Anulado",IF(F135="","Dato pendiente",IF(F135&lt;Control!$C$4,"Fuera de plazo","En plazo")))))</f>
        <v/>
      </c>
      <c r="N135" s="13" t="str">
        <f aca="false">IF(M135="Fuera de plazo",Control!$C$4-F135,"")</f>
        <v/>
      </c>
      <c r="O135" s="13" t="str">
        <f aca="false">IF(M135="Fuera de plazo",IF(J135="Listo para recoger","Cliente (no recoge)","Tienda o proveedor"),"")</f>
        <v/>
      </c>
      <c r="P135" s="13" t="str">
        <f aca="false">IF(A135="","",COUNTIF(Incidencias!$B$2:$B$151,A135))</f>
        <v/>
      </c>
      <c r="Q135" s="13" t="str">
        <f aca="false">IF(A135="","",COUNTIFS(Incidencias!$B$2:$B$151,A135,Incidencias!$F$2:$F$151,"Abierta"))</f>
        <v/>
      </c>
      <c r="R135" s="21" t="str">
        <f aca="false">IF(L135="Sí",H135-I135,IF(A135="","",0))</f>
        <v/>
      </c>
      <c r="S135" s="13" t="str">
        <f aca="false">IF(AND(J135="Entregado",F135&lt;&gt;"",G135&lt;&gt;""),IF(G135&lt;=F135,"Sí","No"),"")</f>
        <v/>
      </c>
      <c r="T135" s="13" t="str">
        <f aca="false">IF(A135="","",IF(K135="Cliente no registrado","Cliente sin dar de alta",IF(F135="","Falta fecha prevista",IF(AND(J135="Entregado",G135=""),"Entregado sin fecha de entrega",IF(ISNA(MATCH(J135,Inicio!$Z$1:$Z$6,0)),"Estado no reconocido",IF(F135&lt;C135,"Prevista anterior al pedido",IF(AND(G135&lt;&gt;"",G135&lt;C135),"Entrega anterior al pedido","")))))))</f>
        <v/>
      </c>
      <c r="U135" s="13" t="str">
        <f aca="false">IF(L135&lt;&gt;"Sí","",IF(M135="Dato pendiente","Poner fecha prevista y avisar al cliente",IF(M135="En plazo","Seguimiento normal",IF(J135="Listo para recoger","Recordar la recogida al cliente",IF(J135="Esperando pieza","Pedir fecha al proveedor y avisar al cliente",IF(J135="En taller","Revisar con el taller","Confirmar el pedido con el proveedor"))))))</f>
        <v/>
      </c>
      <c r="V135" s="29" t="str">
        <f aca="false">IF(M135="Dato pendiente",1000+ROW()/10000,IF(M135="Fuera de plazo",N135+ROW()/10000,""))</f>
        <v/>
      </c>
      <c r="W135" s="30" t="str">
        <f aca="false">IF(T135="","",ROW())</f>
        <v/>
      </c>
    </row>
    <row r="136" customFormat="false" ht="15" hidden="false" customHeight="false" outlineLevel="0" collapsed="false">
      <c r="A136" s="13"/>
      <c r="B136" s="13"/>
      <c r="C136" s="28"/>
      <c r="D136" s="13"/>
      <c r="E136" s="13"/>
      <c r="F136" s="28"/>
      <c r="G136" s="28"/>
      <c r="H136" s="21"/>
      <c r="I136" s="21"/>
      <c r="J136" s="13"/>
      <c r="K136" s="13" t="str">
        <f aca="false">IF(A136="","",IFERROR(INDEX(Clientes!$B$2:$B$200,MATCH(B136,Clientes!$A$2:$A$200,0)),"Cliente no registrado"))</f>
        <v/>
      </c>
      <c r="L136" s="13" t="str">
        <f aca="false">IF(A136="","",IF(OR(J136="Entregado",J136="Anulado"),"No","Sí"))</f>
        <v/>
      </c>
      <c r="M136" s="13" t="str">
        <f aca="false">IF(A136="","",IF(J136="Entregado","Entregado",IF(J136="Anulado","Anulado",IF(F136="","Dato pendiente",IF(F136&lt;Control!$C$4,"Fuera de plazo","En plazo")))))</f>
        <v/>
      </c>
      <c r="N136" s="13" t="str">
        <f aca="false">IF(M136="Fuera de plazo",Control!$C$4-F136,"")</f>
        <v/>
      </c>
      <c r="O136" s="13" t="str">
        <f aca="false">IF(M136="Fuera de plazo",IF(J136="Listo para recoger","Cliente (no recoge)","Tienda o proveedor"),"")</f>
        <v/>
      </c>
      <c r="P136" s="13" t="str">
        <f aca="false">IF(A136="","",COUNTIF(Incidencias!$B$2:$B$151,A136))</f>
        <v/>
      </c>
      <c r="Q136" s="13" t="str">
        <f aca="false">IF(A136="","",COUNTIFS(Incidencias!$B$2:$B$151,A136,Incidencias!$F$2:$F$151,"Abierta"))</f>
        <v/>
      </c>
      <c r="R136" s="21" t="str">
        <f aca="false">IF(L136="Sí",H136-I136,IF(A136="","",0))</f>
        <v/>
      </c>
      <c r="S136" s="13" t="str">
        <f aca="false">IF(AND(J136="Entregado",F136&lt;&gt;"",G136&lt;&gt;""),IF(G136&lt;=F136,"Sí","No"),"")</f>
        <v/>
      </c>
      <c r="T136" s="13" t="str">
        <f aca="false">IF(A136="","",IF(K136="Cliente no registrado","Cliente sin dar de alta",IF(F136="","Falta fecha prevista",IF(AND(J136="Entregado",G136=""),"Entregado sin fecha de entrega",IF(ISNA(MATCH(J136,Inicio!$Z$1:$Z$6,0)),"Estado no reconocido",IF(F136&lt;C136,"Prevista anterior al pedido",IF(AND(G136&lt;&gt;"",G136&lt;C136),"Entrega anterior al pedido","")))))))</f>
        <v/>
      </c>
      <c r="U136" s="13" t="str">
        <f aca="false">IF(L136&lt;&gt;"Sí","",IF(M136="Dato pendiente","Poner fecha prevista y avisar al cliente",IF(M136="En plazo","Seguimiento normal",IF(J136="Listo para recoger","Recordar la recogida al cliente",IF(J136="Esperando pieza","Pedir fecha al proveedor y avisar al cliente",IF(J136="En taller","Revisar con el taller","Confirmar el pedido con el proveedor"))))))</f>
        <v/>
      </c>
      <c r="V136" s="29" t="str">
        <f aca="false">IF(M136="Dato pendiente",1000+ROW()/10000,IF(M136="Fuera de plazo",N136+ROW()/10000,""))</f>
        <v/>
      </c>
      <c r="W136" s="30" t="str">
        <f aca="false">IF(T136="","",ROW())</f>
        <v/>
      </c>
    </row>
    <row r="137" customFormat="false" ht="15" hidden="false" customHeight="false" outlineLevel="0" collapsed="false">
      <c r="A137" s="13"/>
      <c r="B137" s="13"/>
      <c r="C137" s="28"/>
      <c r="D137" s="13"/>
      <c r="E137" s="13"/>
      <c r="F137" s="28"/>
      <c r="G137" s="28"/>
      <c r="H137" s="21"/>
      <c r="I137" s="21"/>
      <c r="J137" s="13"/>
      <c r="K137" s="13" t="str">
        <f aca="false">IF(A137="","",IFERROR(INDEX(Clientes!$B$2:$B$200,MATCH(B137,Clientes!$A$2:$A$200,0)),"Cliente no registrado"))</f>
        <v/>
      </c>
      <c r="L137" s="13" t="str">
        <f aca="false">IF(A137="","",IF(OR(J137="Entregado",J137="Anulado"),"No","Sí"))</f>
        <v/>
      </c>
      <c r="M137" s="13" t="str">
        <f aca="false">IF(A137="","",IF(J137="Entregado","Entregado",IF(J137="Anulado","Anulado",IF(F137="","Dato pendiente",IF(F137&lt;Control!$C$4,"Fuera de plazo","En plazo")))))</f>
        <v/>
      </c>
      <c r="N137" s="13" t="str">
        <f aca="false">IF(M137="Fuera de plazo",Control!$C$4-F137,"")</f>
        <v/>
      </c>
      <c r="O137" s="13" t="str">
        <f aca="false">IF(M137="Fuera de plazo",IF(J137="Listo para recoger","Cliente (no recoge)","Tienda o proveedor"),"")</f>
        <v/>
      </c>
      <c r="P137" s="13" t="str">
        <f aca="false">IF(A137="","",COUNTIF(Incidencias!$B$2:$B$151,A137))</f>
        <v/>
      </c>
      <c r="Q137" s="13" t="str">
        <f aca="false">IF(A137="","",COUNTIFS(Incidencias!$B$2:$B$151,A137,Incidencias!$F$2:$F$151,"Abierta"))</f>
        <v/>
      </c>
      <c r="R137" s="21" t="str">
        <f aca="false">IF(L137="Sí",H137-I137,IF(A137="","",0))</f>
        <v/>
      </c>
      <c r="S137" s="13" t="str">
        <f aca="false">IF(AND(J137="Entregado",F137&lt;&gt;"",G137&lt;&gt;""),IF(G137&lt;=F137,"Sí","No"),"")</f>
        <v/>
      </c>
      <c r="T137" s="13" t="str">
        <f aca="false">IF(A137="","",IF(K137="Cliente no registrado","Cliente sin dar de alta",IF(F137="","Falta fecha prevista",IF(AND(J137="Entregado",G137=""),"Entregado sin fecha de entrega",IF(ISNA(MATCH(J137,Inicio!$Z$1:$Z$6,0)),"Estado no reconocido",IF(F137&lt;C137,"Prevista anterior al pedido",IF(AND(G137&lt;&gt;"",G137&lt;C137),"Entrega anterior al pedido","")))))))</f>
        <v/>
      </c>
      <c r="U137" s="13" t="str">
        <f aca="false">IF(L137&lt;&gt;"Sí","",IF(M137="Dato pendiente","Poner fecha prevista y avisar al cliente",IF(M137="En plazo","Seguimiento normal",IF(J137="Listo para recoger","Recordar la recogida al cliente",IF(J137="Esperando pieza","Pedir fecha al proveedor y avisar al cliente",IF(J137="En taller","Revisar con el taller","Confirmar el pedido con el proveedor"))))))</f>
        <v/>
      </c>
      <c r="V137" s="29" t="str">
        <f aca="false">IF(M137="Dato pendiente",1000+ROW()/10000,IF(M137="Fuera de plazo",N137+ROW()/10000,""))</f>
        <v/>
      </c>
      <c r="W137" s="30" t="str">
        <f aca="false">IF(T137="","",ROW())</f>
        <v/>
      </c>
    </row>
    <row r="138" customFormat="false" ht="15" hidden="false" customHeight="false" outlineLevel="0" collapsed="false">
      <c r="A138" s="13"/>
      <c r="B138" s="13"/>
      <c r="C138" s="28"/>
      <c r="D138" s="13"/>
      <c r="E138" s="13"/>
      <c r="F138" s="28"/>
      <c r="G138" s="28"/>
      <c r="H138" s="21"/>
      <c r="I138" s="21"/>
      <c r="J138" s="13"/>
      <c r="K138" s="13" t="str">
        <f aca="false">IF(A138="","",IFERROR(INDEX(Clientes!$B$2:$B$200,MATCH(B138,Clientes!$A$2:$A$200,0)),"Cliente no registrado"))</f>
        <v/>
      </c>
      <c r="L138" s="13" t="str">
        <f aca="false">IF(A138="","",IF(OR(J138="Entregado",J138="Anulado"),"No","Sí"))</f>
        <v/>
      </c>
      <c r="M138" s="13" t="str">
        <f aca="false">IF(A138="","",IF(J138="Entregado","Entregado",IF(J138="Anulado","Anulado",IF(F138="","Dato pendiente",IF(F138&lt;Control!$C$4,"Fuera de plazo","En plazo")))))</f>
        <v/>
      </c>
      <c r="N138" s="13" t="str">
        <f aca="false">IF(M138="Fuera de plazo",Control!$C$4-F138,"")</f>
        <v/>
      </c>
      <c r="O138" s="13" t="str">
        <f aca="false">IF(M138="Fuera de plazo",IF(J138="Listo para recoger","Cliente (no recoge)","Tienda o proveedor"),"")</f>
        <v/>
      </c>
      <c r="P138" s="13" t="str">
        <f aca="false">IF(A138="","",COUNTIF(Incidencias!$B$2:$B$151,A138))</f>
        <v/>
      </c>
      <c r="Q138" s="13" t="str">
        <f aca="false">IF(A138="","",COUNTIFS(Incidencias!$B$2:$B$151,A138,Incidencias!$F$2:$F$151,"Abierta"))</f>
        <v/>
      </c>
      <c r="R138" s="21" t="str">
        <f aca="false">IF(L138="Sí",H138-I138,IF(A138="","",0))</f>
        <v/>
      </c>
      <c r="S138" s="13" t="str">
        <f aca="false">IF(AND(J138="Entregado",F138&lt;&gt;"",G138&lt;&gt;""),IF(G138&lt;=F138,"Sí","No"),"")</f>
        <v/>
      </c>
      <c r="T138" s="13" t="str">
        <f aca="false">IF(A138="","",IF(K138="Cliente no registrado","Cliente sin dar de alta",IF(F138="","Falta fecha prevista",IF(AND(J138="Entregado",G138=""),"Entregado sin fecha de entrega",IF(ISNA(MATCH(J138,Inicio!$Z$1:$Z$6,0)),"Estado no reconocido",IF(F138&lt;C138,"Prevista anterior al pedido",IF(AND(G138&lt;&gt;"",G138&lt;C138),"Entrega anterior al pedido","")))))))</f>
        <v/>
      </c>
      <c r="U138" s="13" t="str">
        <f aca="false">IF(L138&lt;&gt;"Sí","",IF(M138="Dato pendiente","Poner fecha prevista y avisar al cliente",IF(M138="En plazo","Seguimiento normal",IF(J138="Listo para recoger","Recordar la recogida al cliente",IF(J138="Esperando pieza","Pedir fecha al proveedor y avisar al cliente",IF(J138="En taller","Revisar con el taller","Confirmar el pedido con el proveedor"))))))</f>
        <v/>
      </c>
      <c r="V138" s="29" t="str">
        <f aca="false">IF(M138="Dato pendiente",1000+ROW()/10000,IF(M138="Fuera de plazo",N138+ROW()/10000,""))</f>
        <v/>
      </c>
      <c r="W138" s="30" t="str">
        <f aca="false">IF(T138="","",ROW())</f>
        <v/>
      </c>
    </row>
    <row r="139" customFormat="false" ht="15" hidden="false" customHeight="false" outlineLevel="0" collapsed="false">
      <c r="A139" s="13"/>
      <c r="B139" s="13"/>
      <c r="C139" s="28"/>
      <c r="D139" s="13"/>
      <c r="E139" s="13"/>
      <c r="F139" s="28"/>
      <c r="G139" s="28"/>
      <c r="H139" s="21"/>
      <c r="I139" s="21"/>
      <c r="J139" s="13"/>
      <c r="K139" s="13" t="str">
        <f aca="false">IF(A139="","",IFERROR(INDEX(Clientes!$B$2:$B$200,MATCH(B139,Clientes!$A$2:$A$200,0)),"Cliente no registrado"))</f>
        <v/>
      </c>
      <c r="L139" s="13" t="str">
        <f aca="false">IF(A139="","",IF(OR(J139="Entregado",J139="Anulado"),"No","Sí"))</f>
        <v/>
      </c>
      <c r="M139" s="13" t="str">
        <f aca="false">IF(A139="","",IF(J139="Entregado","Entregado",IF(J139="Anulado","Anulado",IF(F139="","Dato pendiente",IF(F139&lt;Control!$C$4,"Fuera de plazo","En plazo")))))</f>
        <v/>
      </c>
      <c r="N139" s="13" t="str">
        <f aca="false">IF(M139="Fuera de plazo",Control!$C$4-F139,"")</f>
        <v/>
      </c>
      <c r="O139" s="13" t="str">
        <f aca="false">IF(M139="Fuera de plazo",IF(J139="Listo para recoger","Cliente (no recoge)","Tienda o proveedor"),"")</f>
        <v/>
      </c>
      <c r="P139" s="13" t="str">
        <f aca="false">IF(A139="","",COUNTIF(Incidencias!$B$2:$B$151,A139))</f>
        <v/>
      </c>
      <c r="Q139" s="13" t="str">
        <f aca="false">IF(A139="","",COUNTIFS(Incidencias!$B$2:$B$151,A139,Incidencias!$F$2:$F$151,"Abierta"))</f>
        <v/>
      </c>
      <c r="R139" s="21" t="str">
        <f aca="false">IF(L139="Sí",H139-I139,IF(A139="","",0))</f>
        <v/>
      </c>
      <c r="S139" s="13" t="str">
        <f aca="false">IF(AND(J139="Entregado",F139&lt;&gt;"",G139&lt;&gt;""),IF(G139&lt;=F139,"Sí","No"),"")</f>
        <v/>
      </c>
      <c r="T139" s="13" t="str">
        <f aca="false">IF(A139="","",IF(K139="Cliente no registrado","Cliente sin dar de alta",IF(F139="","Falta fecha prevista",IF(AND(J139="Entregado",G139=""),"Entregado sin fecha de entrega",IF(ISNA(MATCH(J139,Inicio!$Z$1:$Z$6,0)),"Estado no reconocido",IF(F139&lt;C139,"Prevista anterior al pedido",IF(AND(G139&lt;&gt;"",G139&lt;C139),"Entrega anterior al pedido","")))))))</f>
        <v/>
      </c>
      <c r="U139" s="13" t="str">
        <f aca="false">IF(L139&lt;&gt;"Sí","",IF(M139="Dato pendiente","Poner fecha prevista y avisar al cliente",IF(M139="En plazo","Seguimiento normal",IF(J139="Listo para recoger","Recordar la recogida al cliente",IF(J139="Esperando pieza","Pedir fecha al proveedor y avisar al cliente",IF(J139="En taller","Revisar con el taller","Confirmar el pedido con el proveedor"))))))</f>
        <v/>
      </c>
      <c r="V139" s="29" t="str">
        <f aca="false">IF(M139="Dato pendiente",1000+ROW()/10000,IF(M139="Fuera de plazo",N139+ROW()/10000,""))</f>
        <v/>
      </c>
      <c r="W139" s="30" t="str">
        <f aca="false">IF(T139="","",ROW())</f>
        <v/>
      </c>
    </row>
    <row r="140" customFormat="false" ht="15" hidden="false" customHeight="false" outlineLevel="0" collapsed="false">
      <c r="A140" s="13"/>
      <c r="B140" s="13"/>
      <c r="C140" s="28"/>
      <c r="D140" s="13"/>
      <c r="E140" s="13"/>
      <c r="F140" s="28"/>
      <c r="G140" s="28"/>
      <c r="H140" s="21"/>
      <c r="I140" s="21"/>
      <c r="J140" s="13"/>
      <c r="K140" s="13" t="str">
        <f aca="false">IF(A140="","",IFERROR(INDEX(Clientes!$B$2:$B$200,MATCH(B140,Clientes!$A$2:$A$200,0)),"Cliente no registrado"))</f>
        <v/>
      </c>
      <c r="L140" s="13" t="str">
        <f aca="false">IF(A140="","",IF(OR(J140="Entregado",J140="Anulado"),"No","Sí"))</f>
        <v/>
      </c>
      <c r="M140" s="13" t="str">
        <f aca="false">IF(A140="","",IF(J140="Entregado","Entregado",IF(J140="Anulado","Anulado",IF(F140="","Dato pendiente",IF(F140&lt;Control!$C$4,"Fuera de plazo","En plazo")))))</f>
        <v/>
      </c>
      <c r="N140" s="13" t="str">
        <f aca="false">IF(M140="Fuera de plazo",Control!$C$4-F140,"")</f>
        <v/>
      </c>
      <c r="O140" s="13" t="str">
        <f aca="false">IF(M140="Fuera de plazo",IF(J140="Listo para recoger","Cliente (no recoge)","Tienda o proveedor"),"")</f>
        <v/>
      </c>
      <c r="P140" s="13" t="str">
        <f aca="false">IF(A140="","",COUNTIF(Incidencias!$B$2:$B$151,A140))</f>
        <v/>
      </c>
      <c r="Q140" s="13" t="str">
        <f aca="false">IF(A140="","",COUNTIFS(Incidencias!$B$2:$B$151,A140,Incidencias!$F$2:$F$151,"Abierta"))</f>
        <v/>
      </c>
      <c r="R140" s="21" t="str">
        <f aca="false">IF(L140="Sí",H140-I140,IF(A140="","",0))</f>
        <v/>
      </c>
      <c r="S140" s="13" t="str">
        <f aca="false">IF(AND(J140="Entregado",F140&lt;&gt;"",G140&lt;&gt;""),IF(G140&lt;=F140,"Sí","No"),"")</f>
        <v/>
      </c>
      <c r="T140" s="13" t="str">
        <f aca="false">IF(A140="","",IF(K140="Cliente no registrado","Cliente sin dar de alta",IF(F140="","Falta fecha prevista",IF(AND(J140="Entregado",G140=""),"Entregado sin fecha de entrega",IF(ISNA(MATCH(J140,Inicio!$Z$1:$Z$6,0)),"Estado no reconocido",IF(F140&lt;C140,"Prevista anterior al pedido",IF(AND(G140&lt;&gt;"",G140&lt;C140),"Entrega anterior al pedido","")))))))</f>
        <v/>
      </c>
      <c r="U140" s="13" t="str">
        <f aca="false">IF(L140&lt;&gt;"Sí","",IF(M140="Dato pendiente","Poner fecha prevista y avisar al cliente",IF(M140="En plazo","Seguimiento normal",IF(J140="Listo para recoger","Recordar la recogida al cliente",IF(J140="Esperando pieza","Pedir fecha al proveedor y avisar al cliente",IF(J140="En taller","Revisar con el taller","Confirmar el pedido con el proveedor"))))))</f>
        <v/>
      </c>
      <c r="V140" s="29" t="str">
        <f aca="false">IF(M140="Dato pendiente",1000+ROW()/10000,IF(M140="Fuera de plazo",N140+ROW()/10000,""))</f>
        <v/>
      </c>
      <c r="W140" s="30" t="str">
        <f aca="false">IF(T140="","",ROW())</f>
        <v/>
      </c>
    </row>
    <row r="141" customFormat="false" ht="15" hidden="false" customHeight="false" outlineLevel="0" collapsed="false">
      <c r="A141" s="13"/>
      <c r="B141" s="13"/>
      <c r="C141" s="28"/>
      <c r="D141" s="13"/>
      <c r="E141" s="13"/>
      <c r="F141" s="28"/>
      <c r="G141" s="28"/>
      <c r="H141" s="21"/>
      <c r="I141" s="21"/>
      <c r="J141" s="13"/>
      <c r="K141" s="13" t="str">
        <f aca="false">IF(A141="","",IFERROR(INDEX(Clientes!$B$2:$B$200,MATCH(B141,Clientes!$A$2:$A$200,0)),"Cliente no registrado"))</f>
        <v/>
      </c>
      <c r="L141" s="13" t="str">
        <f aca="false">IF(A141="","",IF(OR(J141="Entregado",J141="Anulado"),"No","Sí"))</f>
        <v/>
      </c>
      <c r="M141" s="13" t="str">
        <f aca="false">IF(A141="","",IF(J141="Entregado","Entregado",IF(J141="Anulado","Anulado",IF(F141="","Dato pendiente",IF(F141&lt;Control!$C$4,"Fuera de plazo","En plazo")))))</f>
        <v/>
      </c>
      <c r="N141" s="13" t="str">
        <f aca="false">IF(M141="Fuera de plazo",Control!$C$4-F141,"")</f>
        <v/>
      </c>
      <c r="O141" s="13" t="str">
        <f aca="false">IF(M141="Fuera de plazo",IF(J141="Listo para recoger","Cliente (no recoge)","Tienda o proveedor"),"")</f>
        <v/>
      </c>
      <c r="P141" s="13" t="str">
        <f aca="false">IF(A141="","",COUNTIF(Incidencias!$B$2:$B$151,A141))</f>
        <v/>
      </c>
      <c r="Q141" s="13" t="str">
        <f aca="false">IF(A141="","",COUNTIFS(Incidencias!$B$2:$B$151,A141,Incidencias!$F$2:$F$151,"Abierta"))</f>
        <v/>
      </c>
      <c r="R141" s="21" t="str">
        <f aca="false">IF(L141="Sí",H141-I141,IF(A141="","",0))</f>
        <v/>
      </c>
      <c r="S141" s="13" t="str">
        <f aca="false">IF(AND(J141="Entregado",F141&lt;&gt;"",G141&lt;&gt;""),IF(G141&lt;=F141,"Sí","No"),"")</f>
        <v/>
      </c>
      <c r="T141" s="13" t="str">
        <f aca="false">IF(A141="","",IF(K141="Cliente no registrado","Cliente sin dar de alta",IF(F141="","Falta fecha prevista",IF(AND(J141="Entregado",G141=""),"Entregado sin fecha de entrega",IF(ISNA(MATCH(J141,Inicio!$Z$1:$Z$6,0)),"Estado no reconocido",IF(F141&lt;C141,"Prevista anterior al pedido",IF(AND(G141&lt;&gt;"",G141&lt;C141),"Entrega anterior al pedido","")))))))</f>
        <v/>
      </c>
      <c r="U141" s="13" t="str">
        <f aca="false">IF(L141&lt;&gt;"Sí","",IF(M141="Dato pendiente","Poner fecha prevista y avisar al cliente",IF(M141="En plazo","Seguimiento normal",IF(J141="Listo para recoger","Recordar la recogida al cliente",IF(J141="Esperando pieza","Pedir fecha al proveedor y avisar al cliente",IF(J141="En taller","Revisar con el taller","Confirmar el pedido con el proveedor"))))))</f>
        <v/>
      </c>
      <c r="V141" s="29" t="str">
        <f aca="false">IF(M141="Dato pendiente",1000+ROW()/10000,IF(M141="Fuera de plazo",N141+ROW()/10000,""))</f>
        <v/>
      </c>
      <c r="W141" s="30" t="str">
        <f aca="false">IF(T141="","",ROW())</f>
        <v/>
      </c>
    </row>
    <row r="142" customFormat="false" ht="15" hidden="false" customHeight="false" outlineLevel="0" collapsed="false">
      <c r="A142" s="13"/>
      <c r="B142" s="13"/>
      <c r="C142" s="28"/>
      <c r="D142" s="13"/>
      <c r="E142" s="13"/>
      <c r="F142" s="28"/>
      <c r="G142" s="28"/>
      <c r="H142" s="21"/>
      <c r="I142" s="21"/>
      <c r="J142" s="13"/>
      <c r="K142" s="13" t="str">
        <f aca="false">IF(A142="","",IFERROR(INDEX(Clientes!$B$2:$B$200,MATCH(B142,Clientes!$A$2:$A$200,0)),"Cliente no registrado"))</f>
        <v/>
      </c>
      <c r="L142" s="13" t="str">
        <f aca="false">IF(A142="","",IF(OR(J142="Entregado",J142="Anulado"),"No","Sí"))</f>
        <v/>
      </c>
      <c r="M142" s="13" t="str">
        <f aca="false">IF(A142="","",IF(J142="Entregado","Entregado",IF(J142="Anulado","Anulado",IF(F142="","Dato pendiente",IF(F142&lt;Control!$C$4,"Fuera de plazo","En plazo")))))</f>
        <v/>
      </c>
      <c r="N142" s="13" t="str">
        <f aca="false">IF(M142="Fuera de plazo",Control!$C$4-F142,"")</f>
        <v/>
      </c>
      <c r="O142" s="13" t="str">
        <f aca="false">IF(M142="Fuera de plazo",IF(J142="Listo para recoger","Cliente (no recoge)","Tienda o proveedor"),"")</f>
        <v/>
      </c>
      <c r="P142" s="13" t="str">
        <f aca="false">IF(A142="","",COUNTIF(Incidencias!$B$2:$B$151,A142))</f>
        <v/>
      </c>
      <c r="Q142" s="13" t="str">
        <f aca="false">IF(A142="","",COUNTIFS(Incidencias!$B$2:$B$151,A142,Incidencias!$F$2:$F$151,"Abierta"))</f>
        <v/>
      </c>
      <c r="R142" s="21" t="str">
        <f aca="false">IF(L142="Sí",H142-I142,IF(A142="","",0))</f>
        <v/>
      </c>
      <c r="S142" s="13" t="str">
        <f aca="false">IF(AND(J142="Entregado",F142&lt;&gt;"",G142&lt;&gt;""),IF(G142&lt;=F142,"Sí","No"),"")</f>
        <v/>
      </c>
      <c r="T142" s="13" t="str">
        <f aca="false">IF(A142="","",IF(K142="Cliente no registrado","Cliente sin dar de alta",IF(F142="","Falta fecha prevista",IF(AND(J142="Entregado",G142=""),"Entregado sin fecha de entrega",IF(ISNA(MATCH(J142,Inicio!$Z$1:$Z$6,0)),"Estado no reconocido",IF(F142&lt;C142,"Prevista anterior al pedido",IF(AND(G142&lt;&gt;"",G142&lt;C142),"Entrega anterior al pedido","")))))))</f>
        <v/>
      </c>
      <c r="U142" s="13" t="str">
        <f aca="false">IF(L142&lt;&gt;"Sí","",IF(M142="Dato pendiente","Poner fecha prevista y avisar al cliente",IF(M142="En plazo","Seguimiento normal",IF(J142="Listo para recoger","Recordar la recogida al cliente",IF(J142="Esperando pieza","Pedir fecha al proveedor y avisar al cliente",IF(J142="En taller","Revisar con el taller","Confirmar el pedido con el proveedor"))))))</f>
        <v/>
      </c>
      <c r="V142" s="29" t="str">
        <f aca="false">IF(M142="Dato pendiente",1000+ROW()/10000,IF(M142="Fuera de plazo",N142+ROW()/10000,""))</f>
        <v/>
      </c>
      <c r="W142" s="30" t="str">
        <f aca="false">IF(T142="","",ROW())</f>
        <v/>
      </c>
    </row>
    <row r="143" customFormat="false" ht="15" hidden="false" customHeight="false" outlineLevel="0" collapsed="false">
      <c r="A143" s="13"/>
      <c r="B143" s="13"/>
      <c r="C143" s="28"/>
      <c r="D143" s="13"/>
      <c r="E143" s="13"/>
      <c r="F143" s="28"/>
      <c r="G143" s="28"/>
      <c r="H143" s="21"/>
      <c r="I143" s="21"/>
      <c r="J143" s="13"/>
      <c r="K143" s="13" t="str">
        <f aca="false">IF(A143="","",IFERROR(INDEX(Clientes!$B$2:$B$200,MATCH(B143,Clientes!$A$2:$A$200,0)),"Cliente no registrado"))</f>
        <v/>
      </c>
      <c r="L143" s="13" t="str">
        <f aca="false">IF(A143="","",IF(OR(J143="Entregado",J143="Anulado"),"No","Sí"))</f>
        <v/>
      </c>
      <c r="M143" s="13" t="str">
        <f aca="false">IF(A143="","",IF(J143="Entregado","Entregado",IF(J143="Anulado","Anulado",IF(F143="","Dato pendiente",IF(F143&lt;Control!$C$4,"Fuera de plazo","En plazo")))))</f>
        <v/>
      </c>
      <c r="N143" s="13" t="str">
        <f aca="false">IF(M143="Fuera de plazo",Control!$C$4-F143,"")</f>
        <v/>
      </c>
      <c r="O143" s="13" t="str">
        <f aca="false">IF(M143="Fuera de plazo",IF(J143="Listo para recoger","Cliente (no recoge)","Tienda o proveedor"),"")</f>
        <v/>
      </c>
      <c r="P143" s="13" t="str">
        <f aca="false">IF(A143="","",COUNTIF(Incidencias!$B$2:$B$151,A143))</f>
        <v/>
      </c>
      <c r="Q143" s="13" t="str">
        <f aca="false">IF(A143="","",COUNTIFS(Incidencias!$B$2:$B$151,A143,Incidencias!$F$2:$F$151,"Abierta"))</f>
        <v/>
      </c>
      <c r="R143" s="21" t="str">
        <f aca="false">IF(L143="Sí",H143-I143,IF(A143="","",0))</f>
        <v/>
      </c>
      <c r="S143" s="13" t="str">
        <f aca="false">IF(AND(J143="Entregado",F143&lt;&gt;"",G143&lt;&gt;""),IF(G143&lt;=F143,"Sí","No"),"")</f>
        <v/>
      </c>
      <c r="T143" s="13" t="str">
        <f aca="false">IF(A143="","",IF(K143="Cliente no registrado","Cliente sin dar de alta",IF(F143="","Falta fecha prevista",IF(AND(J143="Entregado",G143=""),"Entregado sin fecha de entrega",IF(ISNA(MATCH(J143,Inicio!$Z$1:$Z$6,0)),"Estado no reconocido",IF(F143&lt;C143,"Prevista anterior al pedido",IF(AND(G143&lt;&gt;"",G143&lt;C143),"Entrega anterior al pedido","")))))))</f>
        <v/>
      </c>
      <c r="U143" s="13" t="str">
        <f aca="false">IF(L143&lt;&gt;"Sí","",IF(M143="Dato pendiente","Poner fecha prevista y avisar al cliente",IF(M143="En plazo","Seguimiento normal",IF(J143="Listo para recoger","Recordar la recogida al cliente",IF(J143="Esperando pieza","Pedir fecha al proveedor y avisar al cliente",IF(J143="En taller","Revisar con el taller","Confirmar el pedido con el proveedor"))))))</f>
        <v/>
      </c>
      <c r="V143" s="29" t="str">
        <f aca="false">IF(M143="Dato pendiente",1000+ROW()/10000,IF(M143="Fuera de plazo",N143+ROW()/10000,""))</f>
        <v/>
      </c>
      <c r="W143" s="30" t="str">
        <f aca="false">IF(T143="","",ROW())</f>
        <v/>
      </c>
    </row>
    <row r="144" customFormat="false" ht="15" hidden="false" customHeight="false" outlineLevel="0" collapsed="false">
      <c r="A144" s="13"/>
      <c r="B144" s="13"/>
      <c r="C144" s="28"/>
      <c r="D144" s="13"/>
      <c r="E144" s="13"/>
      <c r="F144" s="28"/>
      <c r="G144" s="28"/>
      <c r="H144" s="21"/>
      <c r="I144" s="21"/>
      <c r="J144" s="13"/>
      <c r="K144" s="13" t="str">
        <f aca="false">IF(A144="","",IFERROR(INDEX(Clientes!$B$2:$B$200,MATCH(B144,Clientes!$A$2:$A$200,0)),"Cliente no registrado"))</f>
        <v/>
      </c>
      <c r="L144" s="13" t="str">
        <f aca="false">IF(A144="","",IF(OR(J144="Entregado",J144="Anulado"),"No","Sí"))</f>
        <v/>
      </c>
      <c r="M144" s="13" t="str">
        <f aca="false">IF(A144="","",IF(J144="Entregado","Entregado",IF(J144="Anulado","Anulado",IF(F144="","Dato pendiente",IF(F144&lt;Control!$C$4,"Fuera de plazo","En plazo")))))</f>
        <v/>
      </c>
      <c r="N144" s="13" t="str">
        <f aca="false">IF(M144="Fuera de plazo",Control!$C$4-F144,"")</f>
        <v/>
      </c>
      <c r="O144" s="13" t="str">
        <f aca="false">IF(M144="Fuera de plazo",IF(J144="Listo para recoger","Cliente (no recoge)","Tienda o proveedor"),"")</f>
        <v/>
      </c>
      <c r="P144" s="13" t="str">
        <f aca="false">IF(A144="","",COUNTIF(Incidencias!$B$2:$B$151,A144))</f>
        <v/>
      </c>
      <c r="Q144" s="13" t="str">
        <f aca="false">IF(A144="","",COUNTIFS(Incidencias!$B$2:$B$151,A144,Incidencias!$F$2:$F$151,"Abierta"))</f>
        <v/>
      </c>
      <c r="R144" s="21" t="str">
        <f aca="false">IF(L144="Sí",H144-I144,IF(A144="","",0))</f>
        <v/>
      </c>
      <c r="S144" s="13" t="str">
        <f aca="false">IF(AND(J144="Entregado",F144&lt;&gt;"",G144&lt;&gt;""),IF(G144&lt;=F144,"Sí","No"),"")</f>
        <v/>
      </c>
      <c r="T144" s="13" t="str">
        <f aca="false">IF(A144="","",IF(K144="Cliente no registrado","Cliente sin dar de alta",IF(F144="","Falta fecha prevista",IF(AND(J144="Entregado",G144=""),"Entregado sin fecha de entrega",IF(ISNA(MATCH(J144,Inicio!$Z$1:$Z$6,0)),"Estado no reconocido",IF(F144&lt;C144,"Prevista anterior al pedido",IF(AND(G144&lt;&gt;"",G144&lt;C144),"Entrega anterior al pedido","")))))))</f>
        <v/>
      </c>
      <c r="U144" s="13" t="str">
        <f aca="false">IF(L144&lt;&gt;"Sí","",IF(M144="Dato pendiente","Poner fecha prevista y avisar al cliente",IF(M144="En plazo","Seguimiento normal",IF(J144="Listo para recoger","Recordar la recogida al cliente",IF(J144="Esperando pieza","Pedir fecha al proveedor y avisar al cliente",IF(J144="En taller","Revisar con el taller","Confirmar el pedido con el proveedor"))))))</f>
        <v/>
      </c>
      <c r="V144" s="29" t="str">
        <f aca="false">IF(M144="Dato pendiente",1000+ROW()/10000,IF(M144="Fuera de plazo",N144+ROW()/10000,""))</f>
        <v/>
      </c>
      <c r="W144" s="30" t="str">
        <f aca="false">IF(T144="","",ROW())</f>
        <v/>
      </c>
    </row>
    <row r="145" customFormat="false" ht="15" hidden="false" customHeight="false" outlineLevel="0" collapsed="false">
      <c r="A145" s="13"/>
      <c r="B145" s="13"/>
      <c r="C145" s="28"/>
      <c r="D145" s="13"/>
      <c r="E145" s="13"/>
      <c r="F145" s="28"/>
      <c r="G145" s="28"/>
      <c r="H145" s="21"/>
      <c r="I145" s="21"/>
      <c r="J145" s="13"/>
      <c r="K145" s="13" t="str">
        <f aca="false">IF(A145="","",IFERROR(INDEX(Clientes!$B$2:$B$200,MATCH(B145,Clientes!$A$2:$A$200,0)),"Cliente no registrado"))</f>
        <v/>
      </c>
      <c r="L145" s="13" t="str">
        <f aca="false">IF(A145="","",IF(OR(J145="Entregado",J145="Anulado"),"No","Sí"))</f>
        <v/>
      </c>
      <c r="M145" s="13" t="str">
        <f aca="false">IF(A145="","",IF(J145="Entregado","Entregado",IF(J145="Anulado","Anulado",IF(F145="","Dato pendiente",IF(F145&lt;Control!$C$4,"Fuera de plazo","En plazo")))))</f>
        <v/>
      </c>
      <c r="N145" s="13" t="str">
        <f aca="false">IF(M145="Fuera de plazo",Control!$C$4-F145,"")</f>
        <v/>
      </c>
      <c r="O145" s="13" t="str">
        <f aca="false">IF(M145="Fuera de plazo",IF(J145="Listo para recoger","Cliente (no recoge)","Tienda o proveedor"),"")</f>
        <v/>
      </c>
      <c r="P145" s="13" t="str">
        <f aca="false">IF(A145="","",COUNTIF(Incidencias!$B$2:$B$151,A145))</f>
        <v/>
      </c>
      <c r="Q145" s="13" t="str">
        <f aca="false">IF(A145="","",COUNTIFS(Incidencias!$B$2:$B$151,A145,Incidencias!$F$2:$F$151,"Abierta"))</f>
        <v/>
      </c>
      <c r="R145" s="21" t="str">
        <f aca="false">IF(L145="Sí",H145-I145,IF(A145="","",0))</f>
        <v/>
      </c>
      <c r="S145" s="13" t="str">
        <f aca="false">IF(AND(J145="Entregado",F145&lt;&gt;"",G145&lt;&gt;""),IF(G145&lt;=F145,"Sí","No"),"")</f>
        <v/>
      </c>
      <c r="T145" s="13" t="str">
        <f aca="false">IF(A145="","",IF(K145="Cliente no registrado","Cliente sin dar de alta",IF(F145="","Falta fecha prevista",IF(AND(J145="Entregado",G145=""),"Entregado sin fecha de entrega",IF(ISNA(MATCH(J145,Inicio!$Z$1:$Z$6,0)),"Estado no reconocido",IF(F145&lt;C145,"Prevista anterior al pedido",IF(AND(G145&lt;&gt;"",G145&lt;C145),"Entrega anterior al pedido","")))))))</f>
        <v/>
      </c>
      <c r="U145" s="13" t="str">
        <f aca="false">IF(L145&lt;&gt;"Sí","",IF(M145="Dato pendiente","Poner fecha prevista y avisar al cliente",IF(M145="En plazo","Seguimiento normal",IF(J145="Listo para recoger","Recordar la recogida al cliente",IF(J145="Esperando pieza","Pedir fecha al proveedor y avisar al cliente",IF(J145="En taller","Revisar con el taller","Confirmar el pedido con el proveedor"))))))</f>
        <v/>
      </c>
      <c r="V145" s="29" t="str">
        <f aca="false">IF(M145="Dato pendiente",1000+ROW()/10000,IF(M145="Fuera de plazo",N145+ROW()/10000,""))</f>
        <v/>
      </c>
      <c r="W145" s="30" t="str">
        <f aca="false">IF(T145="","",ROW())</f>
        <v/>
      </c>
    </row>
    <row r="146" customFormat="false" ht="15" hidden="false" customHeight="false" outlineLevel="0" collapsed="false">
      <c r="A146" s="13"/>
      <c r="B146" s="13"/>
      <c r="C146" s="28"/>
      <c r="D146" s="13"/>
      <c r="E146" s="13"/>
      <c r="F146" s="28"/>
      <c r="G146" s="28"/>
      <c r="H146" s="21"/>
      <c r="I146" s="21"/>
      <c r="J146" s="13"/>
      <c r="K146" s="13" t="str">
        <f aca="false">IF(A146="","",IFERROR(INDEX(Clientes!$B$2:$B$200,MATCH(B146,Clientes!$A$2:$A$200,0)),"Cliente no registrado"))</f>
        <v/>
      </c>
      <c r="L146" s="13" t="str">
        <f aca="false">IF(A146="","",IF(OR(J146="Entregado",J146="Anulado"),"No","Sí"))</f>
        <v/>
      </c>
      <c r="M146" s="13" t="str">
        <f aca="false">IF(A146="","",IF(J146="Entregado","Entregado",IF(J146="Anulado","Anulado",IF(F146="","Dato pendiente",IF(F146&lt;Control!$C$4,"Fuera de plazo","En plazo")))))</f>
        <v/>
      </c>
      <c r="N146" s="13" t="str">
        <f aca="false">IF(M146="Fuera de plazo",Control!$C$4-F146,"")</f>
        <v/>
      </c>
      <c r="O146" s="13" t="str">
        <f aca="false">IF(M146="Fuera de plazo",IF(J146="Listo para recoger","Cliente (no recoge)","Tienda o proveedor"),"")</f>
        <v/>
      </c>
      <c r="P146" s="13" t="str">
        <f aca="false">IF(A146="","",COUNTIF(Incidencias!$B$2:$B$151,A146))</f>
        <v/>
      </c>
      <c r="Q146" s="13" t="str">
        <f aca="false">IF(A146="","",COUNTIFS(Incidencias!$B$2:$B$151,A146,Incidencias!$F$2:$F$151,"Abierta"))</f>
        <v/>
      </c>
      <c r="R146" s="21" t="str">
        <f aca="false">IF(L146="Sí",H146-I146,IF(A146="","",0))</f>
        <v/>
      </c>
      <c r="S146" s="13" t="str">
        <f aca="false">IF(AND(J146="Entregado",F146&lt;&gt;"",G146&lt;&gt;""),IF(G146&lt;=F146,"Sí","No"),"")</f>
        <v/>
      </c>
      <c r="T146" s="13" t="str">
        <f aca="false">IF(A146="","",IF(K146="Cliente no registrado","Cliente sin dar de alta",IF(F146="","Falta fecha prevista",IF(AND(J146="Entregado",G146=""),"Entregado sin fecha de entrega",IF(ISNA(MATCH(J146,Inicio!$Z$1:$Z$6,0)),"Estado no reconocido",IF(F146&lt;C146,"Prevista anterior al pedido",IF(AND(G146&lt;&gt;"",G146&lt;C146),"Entrega anterior al pedido","")))))))</f>
        <v/>
      </c>
      <c r="U146" s="13" t="str">
        <f aca="false">IF(L146&lt;&gt;"Sí","",IF(M146="Dato pendiente","Poner fecha prevista y avisar al cliente",IF(M146="En plazo","Seguimiento normal",IF(J146="Listo para recoger","Recordar la recogida al cliente",IF(J146="Esperando pieza","Pedir fecha al proveedor y avisar al cliente",IF(J146="En taller","Revisar con el taller","Confirmar el pedido con el proveedor"))))))</f>
        <v/>
      </c>
      <c r="V146" s="29" t="str">
        <f aca="false">IF(M146="Dato pendiente",1000+ROW()/10000,IF(M146="Fuera de plazo",N146+ROW()/10000,""))</f>
        <v/>
      </c>
      <c r="W146" s="30" t="str">
        <f aca="false">IF(T146="","",ROW())</f>
        <v/>
      </c>
    </row>
    <row r="147" customFormat="false" ht="15" hidden="false" customHeight="false" outlineLevel="0" collapsed="false">
      <c r="A147" s="13"/>
      <c r="B147" s="13"/>
      <c r="C147" s="28"/>
      <c r="D147" s="13"/>
      <c r="E147" s="13"/>
      <c r="F147" s="28"/>
      <c r="G147" s="28"/>
      <c r="H147" s="21"/>
      <c r="I147" s="21"/>
      <c r="J147" s="13"/>
      <c r="K147" s="13" t="str">
        <f aca="false">IF(A147="","",IFERROR(INDEX(Clientes!$B$2:$B$200,MATCH(B147,Clientes!$A$2:$A$200,0)),"Cliente no registrado"))</f>
        <v/>
      </c>
      <c r="L147" s="13" t="str">
        <f aca="false">IF(A147="","",IF(OR(J147="Entregado",J147="Anulado"),"No","Sí"))</f>
        <v/>
      </c>
      <c r="M147" s="13" t="str">
        <f aca="false">IF(A147="","",IF(J147="Entregado","Entregado",IF(J147="Anulado","Anulado",IF(F147="","Dato pendiente",IF(F147&lt;Control!$C$4,"Fuera de plazo","En plazo")))))</f>
        <v/>
      </c>
      <c r="N147" s="13" t="str">
        <f aca="false">IF(M147="Fuera de plazo",Control!$C$4-F147,"")</f>
        <v/>
      </c>
      <c r="O147" s="13" t="str">
        <f aca="false">IF(M147="Fuera de plazo",IF(J147="Listo para recoger","Cliente (no recoge)","Tienda o proveedor"),"")</f>
        <v/>
      </c>
      <c r="P147" s="13" t="str">
        <f aca="false">IF(A147="","",COUNTIF(Incidencias!$B$2:$B$151,A147))</f>
        <v/>
      </c>
      <c r="Q147" s="13" t="str">
        <f aca="false">IF(A147="","",COUNTIFS(Incidencias!$B$2:$B$151,A147,Incidencias!$F$2:$F$151,"Abierta"))</f>
        <v/>
      </c>
      <c r="R147" s="21" t="str">
        <f aca="false">IF(L147="Sí",H147-I147,IF(A147="","",0))</f>
        <v/>
      </c>
      <c r="S147" s="13" t="str">
        <f aca="false">IF(AND(J147="Entregado",F147&lt;&gt;"",G147&lt;&gt;""),IF(G147&lt;=F147,"Sí","No"),"")</f>
        <v/>
      </c>
      <c r="T147" s="13" t="str">
        <f aca="false">IF(A147="","",IF(K147="Cliente no registrado","Cliente sin dar de alta",IF(F147="","Falta fecha prevista",IF(AND(J147="Entregado",G147=""),"Entregado sin fecha de entrega",IF(ISNA(MATCH(J147,Inicio!$Z$1:$Z$6,0)),"Estado no reconocido",IF(F147&lt;C147,"Prevista anterior al pedido",IF(AND(G147&lt;&gt;"",G147&lt;C147),"Entrega anterior al pedido","")))))))</f>
        <v/>
      </c>
      <c r="U147" s="13" t="str">
        <f aca="false">IF(L147&lt;&gt;"Sí","",IF(M147="Dato pendiente","Poner fecha prevista y avisar al cliente",IF(M147="En plazo","Seguimiento normal",IF(J147="Listo para recoger","Recordar la recogida al cliente",IF(J147="Esperando pieza","Pedir fecha al proveedor y avisar al cliente",IF(J147="En taller","Revisar con el taller","Confirmar el pedido con el proveedor"))))))</f>
        <v/>
      </c>
      <c r="V147" s="29" t="str">
        <f aca="false">IF(M147="Dato pendiente",1000+ROW()/10000,IF(M147="Fuera de plazo",N147+ROW()/10000,""))</f>
        <v/>
      </c>
      <c r="W147" s="30" t="str">
        <f aca="false">IF(T147="","",ROW())</f>
        <v/>
      </c>
    </row>
    <row r="148" customFormat="false" ht="15" hidden="false" customHeight="false" outlineLevel="0" collapsed="false">
      <c r="A148" s="13"/>
      <c r="B148" s="13"/>
      <c r="C148" s="28"/>
      <c r="D148" s="13"/>
      <c r="E148" s="13"/>
      <c r="F148" s="28"/>
      <c r="G148" s="28"/>
      <c r="H148" s="21"/>
      <c r="I148" s="21"/>
      <c r="J148" s="13"/>
      <c r="K148" s="13" t="str">
        <f aca="false">IF(A148="","",IFERROR(INDEX(Clientes!$B$2:$B$200,MATCH(B148,Clientes!$A$2:$A$200,0)),"Cliente no registrado"))</f>
        <v/>
      </c>
      <c r="L148" s="13" t="str">
        <f aca="false">IF(A148="","",IF(OR(J148="Entregado",J148="Anulado"),"No","Sí"))</f>
        <v/>
      </c>
      <c r="M148" s="13" t="str">
        <f aca="false">IF(A148="","",IF(J148="Entregado","Entregado",IF(J148="Anulado","Anulado",IF(F148="","Dato pendiente",IF(F148&lt;Control!$C$4,"Fuera de plazo","En plazo")))))</f>
        <v/>
      </c>
      <c r="N148" s="13" t="str">
        <f aca="false">IF(M148="Fuera de plazo",Control!$C$4-F148,"")</f>
        <v/>
      </c>
      <c r="O148" s="13" t="str">
        <f aca="false">IF(M148="Fuera de plazo",IF(J148="Listo para recoger","Cliente (no recoge)","Tienda o proveedor"),"")</f>
        <v/>
      </c>
      <c r="P148" s="13" t="str">
        <f aca="false">IF(A148="","",COUNTIF(Incidencias!$B$2:$B$151,A148))</f>
        <v/>
      </c>
      <c r="Q148" s="13" t="str">
        <f aca="false">IF(A148="","",COUNTIFS(Incidencias!$B$2:$B$151,A148,Incidencias!$F$2:$F$151,"Abierta"))</f>
        <v/>
      </c>
      <c r="R148" s="21" t="str">
        <f aca="false">IF(L148="Sí",H148-I148,IF(A148="","",0))</f>
        <v/>
      </c>
      <c r="S148" s="13" t="str">
        <f aca="false">IF(AND(J148="Entregado",F148&lt;&gt;"",G148&lt;&gt;""),IF(G148&lt;=F148,"Sí","No"),"")</f>
        <v/>
      </c>
      <c r="T148" s="13" t="str">
        <f aca="false">IF(A148="","",IF(K148="Cliente no registrado","Cliente sin dar de alta",IF(F148="","Falta fecha prevista",IF(AND(J148="Entregado",G148=""),"Entregado sin fecha de entrega",IF(ISNA(MATCH(J148,Inicio!$Z$1:$Z$6,0)),"Estado no reconocido",IF(F148&lt;C148,"Prevista anterior al pedido",IF(AND(G148&lt;&gt;"",G148&lt;C148),"Entrega anterior al pedido","")))))))</f>
        <v/>
      </c>
      <c r="U148" s="13" t="str">
        <f aca="false">IF(L148&lt;&gt;"Sí","",IF(M148="Dato pendiente","Poner fecha prevista y avisar al cliente",IF(M148="En plazo","Seguimiento normal",IF(J148="Listo para recoger","Recordar la recogida al cliente",IF(J148="Esperando pieza","Pedir fecha al proveedor y avisar al cliente",IF(J148="En taller","Revisar con el taller","Confirmar el pedido con el proveedor"))))))</f>
        <v/>
      </c>
      <c r="V148" s="29" t="str">
        <f aca="false">IF(M148="Dato pendiente",1000+ROW()/10000,IF(M148="Fuera de plazo",N148+ROW()/10000,""))</f>
        <v/>
      </c>
      <c r="W148" s="30" t="str">
        <f aca="false">IF(T148="","",ROW())</f>
        <v/>
      </c>
    </row>
    <row r="149" customFormat="false" ht="15" hidden="false" customHeight="false" outlineLevel="0" collapsed="false">
      <c r="A149" s="13"/>
      <c r="B149" s="13"/>
      <c r="C149" s="28"/>
      <c r="D149" s="13"/>
      <c r="E149" s="13"/>
      <c r="F149" s="28"/>
      <c r="G149" s="28"/>
      <c r="H149" s="21"/>
      <c r="I149" s="21"/>
      <c r="J149" s="13"/>
      <c r="K149" s="13" t="str">
        <f aca="false">IF(A149="","",IFERROR(INDEX(Clientes!$B$2:$B$200,MATCH(B149,Clientes!$A$2:$A$200,0)),"Cliente no registrado"))</f>
        <v/>
      </c>
      <c r="L149" s="13" t="str">
        <f aca="false">IF(A149="","",IF(OR(J149="Entregado",J149="Anulado"),"No","Sí"))</f>
        <v/>
      </c>
      <c r="M149" s="13" t="str">
        <f aca="false">IF(A149="","",IF(J149="Entregado","Entregado",IF(J149="Anulado","Anulado",IF(F149="","Dato pendiente",IF(F149&lt;Control!$C$4,"Fuera de plazo","En plazo")))))</f>
        <v/>
      </c>
      <c r="N149" s="13" t="str">
        <f aca="false">IF(M149="Fuera de plazo",Control!$C$4-F149,"")</f>
        <v/>
      </c>
      <c r="O149" s="13" t="str">
        <f aca="false">IF(M149="Fuera de plazo",IF(J149="Listo para recoger","Cliente (no recoge)","Tienda o proveedor"),"")</f>
        <v/>
      </c>
      <c r="P149" s="13" t="str">
        <f aca="false">IF(A149="","",COUNTIF(Incidencias!$B$2:$B$151,A149))</f>
        <v/>
      </c>
      <c r="Q149" s="13" t="str">
        <f aca="false">IF(A149="","",COUNTIFS(Incidencias!$B$2:$B$151,A149,Incidencias!$F$2:$F$151,"Abierta"))</f>
        <v/>
      </c>
      <c r="R149" s="21" t="str">
        <f aca="false">IF(L149="Sí",H149-I149,IF(A149="","",0))</f>
        <v/>
      </c>
      <c r="S149" s="13" t="str">
        <f aca="false">IF(AND(J149="Entregado",F149&lt;&gt;"",G149&lt;&gt;""),IF(G149&lt;=F149,"Sí","No"),"")</f>
        <v/>
      </c>
      <c r="T149" s="13" t="str">
        <f aca="false">IF(A149="","",IF(K149="Cliente no registrado","Cliente sin dar de alta",IF(F149="","Falta fecha prevista",IF(AND(J149="Entregado",G149=""),"Entregado sin fecha de entrega",IF(ISNA(MATCH(J149,Inicio!$Z$1:$Z$6,0)),"Estado no reconocido",IF(F149&lt;C149,"Prevista anterior al pedido",IF(AND(G149&lt;&gt;"",G149&lt;C149),"Entrega anterior al pedido","")))))))</f>
        <v/>
      </c>
      <c r="U149" s="13" t="str">
        <f aca="false">IF(L149&lt;&gt;"Sí","",IF(M149="Dato pendiente","Poner fecha prevista y avisar al cliente",IF(M149="En plazo","Seguimiento normal",IF(J149="Listo para recoger","Recordar la recogida al cliente",IF(J149="Esperando pieza","Pedir fecha al proveedor y avisar al cliente",IF(J149="En taller","Revisar con el taller","Confirmar el pedido con el proveedor"))))))</f>
        <v/>
      </c>
      <c r="V149" s="29" t="str">
        <f aca="false">IF(M149="Dato pendiente",1000+ROW()/10000,IF(M149="Fuera de plazo",N149+ROW()/10000,""))</f>
        <v/>
      </c>
      <c r="W149" s="30" t="str">
        <f aca="false">IF(T149="","",ROW())</f>
        <v/>
      </c>
    </row>
    <row r="150" customFormat="false" ht="15" hidden="false" customHeight="false" outlineLevel="0" collapsed="false">
      <c r="A150" s="13"/>
      <c r="B150" s="13"/>
      <c r="C150" s="28"/>
      <c r="D150" s="13"/>
      <c r="E150" s="13"/>
      <c r="F150" s="28"/>
      <c r="G150" s="28"/>
      <c r="H150" s="21"/>
      <c r="I150" s="21"/>
      <c r="J150" s="13"/>
      <c r="K150" s="13" t="str">
        <f aca="false">IF(A150="","",IFERROR(INDEX(Clientes!$B$2:$B$200,MATCH(B150,Clientes!$A$2:$A$200,0)),"Cliente no registrado"))</f>
        <v/>
      </c>
      <c r="L150" s="13" t="str">
        <f aca="false">IF(A150="","",IF(OR(J150="Entregado",J150="Anulado"),"No","Sí"))</f>
        <v/>
      </c>
      <c r="M150" s="13" t="str">
        <f aca="false">IF(A150="","",IF(J150="Entregado","Entregado",IF(J150="Anulado","Anulado",IF(F150="","Dato pendiente",IF(F150&lt;Control!$C$4,"Fuera de plazo","En plazo")))))</f>
        <v/>
      </c>
      <c r="N150" s="13" t="str">
        <f aca="false">IF(M150="Fuera de plazo",Control!$C$4-F150,"")</f>
        <v/>
      </c>
      <c r="O150" s="13" t="str">
        <f aca="false">IF(M150="Fuera de plazo",IF(J150="Listo para recoger","Cliente (no recoge)","Tienda o proveedor"),"")</f>
        <v/>
      </c>
      <c r="P150" s="13" t="str">
        <f aca="false">IF(A150="","",COUNTIF(Incidencias!$B$2:$B$151,A150))</f>
        <v/>
      </c>
      <c r="Q150" s="13" t="str">
        <f aca="false">IF(A150="","",COUNTIFS(Incidencias!$B$2:$B$151,A150,Incidencias!$F$2:$F$151,"Abierta"))</f>
        <v/>
      </c>
      <c r="R150" s="21" t="str">
        <f aca="false">IF(L150="Sí",H150-I150,IF(A150="","",0))</f>
        <v/>
      </c>
      <c r="S150" s="13" t="str">
        <f aca="false">IF(AND(J150="Entregado",F150&lt;&gt;"",G150&lt;&gt;""),IF(G150&lt;=F150,"Sí","No"),"")</f>
        <v/>
      </c>
      <c r="T150" s="13" t="str">
        <f aca="false">IF(A150="","",IF(K150="Cliente no registrado","Cliente sin dar de alta",IF(F150="","Falta fecha prevista",IF(AND(J150="Entregado",G150=""),"Entregado sin fecha de entrega",IF(ISNA(MATCH(J150,Inicio!$Z$1:$Z$6,0)),"Estado no reconocido",IF(F150&lt;C150,"Prevista anterior al pedido",IF(AND(G150&lt;&gt;"",G150&lt;C150),"Entrega anterior al pedido","")))))))</f>
        <v/>
      </c>
      <c r="U150" s="13" t="str">
        <f aca="false">IF(L150&lt;&gt;"Sí","",IF(M150="Dato pendiente","Poner fecha prevista y avisar al cliente",IF(M150="En plazo","Seguimiento normal",IF(J150="Listo para recoger","Recordar la recogida al cliente",IF(J150="Esperando pieza","Pedir fecha al proveedor y avisar al cliente",IF(J150="En taller","Revisar con el taller","Confirmar el pedido con el proveedor"))))))</f>
        <v/>
      </c>
      <c r="V150" s="29" t="str">
        <f aca="false">IF(M150="Dato pendiente",1000+ROW()/10000,IF(M150="Fuera de plazo",N150+ROW()/10000,""))</f>
        <v/>
      </c>
      <c r="W150" s="30" t="str">
        <f aca="false">IF(T150="","",ROW())</f>
        <v/>
      </c>
    </row>
    <row r="151" customFormat="false" ht="15" hidden="false" customHeight="false" outlineLevel="0" collapsed="false">
      <c r="A151" s="13"/>
      <c r="B151" s="13"/>
      <c r="C151" s="28"/>
      <c r="D151" s="13"/>
      <c r="E151" s="13"/>
      <c r="F151" s="28"/>
      <c r="G151" s="28"/>
      <c r="H151" s="21"/>
      <c r="I151" s="21"/>
      <c r="J151" s="13"/>
      <c r="K151" s="13" t="str">
        <f aca="false">IF(A151="","",IFERROR(INDEX(Clientes!$B$2:$B$200,MATCH(B151,Clientes!$A$2:$A$200,0)),"Cliente no registrado"))</f>
        <v/>
      </c>
      <c r="L151" s="13" t="str">
        <f aca="false">IF(A151="","",IF(OR(J151="Entregado",J151="Anulado"),"No","Sí"))</f>
        <v/>
      </c>
      <c r="M151" s="13" t="str">
        <f aca="false">IF(A151="","",IF(J151="Entregado","Entregado",IF(J151="Anulado","Anulado",IF(F151="","Dato pendiente",IF(F151&lt;Control!$C$4,"Fuera de plazo","En plazo")))))</f>
        <v/>
      </c>
      <c r="N151" s="13" t="str">
        <f aca="false">IF(M151="Fuera de plazo",Control!$C$4-F151,"")</f>
        <v/>
      </c>
      <c r="O151" s="13" t="str">
        <f aca="false">IF(M151="Fuera de plazo",IF(J151="Listo para recoger","Cliente (no recoge)","Tienda o proveedor"),"")</f>
        <v/>
      </c>
      <c r="P151" s="13" t="str">
        <f aca="false">IF(A151="","",COUNTIF(Incidencias!$B$2:$B$151,A151))</f>
        <v/>
      </c>
      <c r="Q151" s="13" t="str">
        <f aca="false">IF(A151="","",COUNTIFS(Incidencias!$B$2:$B$151,A151,Incidencias!$F$2:$F$151,"Abierta"))</f>
        <v/>
      </c>
      <c r="R151" s="21" t="str">
        <f aca="false">IF(L151="Sí",H151-I151,IF(A151="","",0))</f>
        <v/>
      </c>
      <c r="S151" s="13" t="str">
        <f aca="false">IF(AND(J151="Entregado",F151&lt;&gt;"",G151&lt;&gt;""),IF(G151&lt;=F151,"Sí","No"),"")</f>
        <v/>
      </c>
      <c r="T151" s="13" t="str">
        <f aca="false">IF(A151="","",IF(K151="Cliente no registrado","Cliente sin dar de alta",IF(F151="","Falta fecha prevista",IF(AND(J151="Entregado",G151=""),"Entregado sin fecha de entrega",IF(ISNA(MATCH(J151,Inicio!$Z$1:$Z$6,0)),"Estado no reconocido",IF(F151&lt;C151,"Prevista anterior al pedido",IF(AND(G151&lt;&gt;"",G151&lt;C151),"Entrega anterior al pedido","")))))))</f>
        <v/>
      </c>
      <c r="U151" s="13" t="str">
        <f aca="false">IF(L151&lt;&gt;"Sí","",IF(M151="Dato pendiente","Poner fecha prevista y avisar al cliente",IF(M151="En plazo","Seguimiento normal",IF(J151="Listo para recoger","Recordar la recogida al cliente",IF(J151="Esperando pieza","Pedir fecha al proveedor y avisar al cliente",IF(J151="En taller","Revisar con el taller","Confirmar el pedido con el proveedor"))))))</f>
        <v/>
      </c>
      <c r="V151" s="29" t="str">
        <f aca="false">IF(M151="Dato pendiente",1000+ROW()/10000,IF(M151="Fuera de plazo",N151+ROW()/10000,""))</f>
        <v/>
      </c>
      <c r="W151" s="30" t="str">
        <f aca="false">IF(T151="","",ROW())</f>
        <v/>
      </c>
    </row>
    <row r="152" customFormat="false" ht="15" hidden="false" customHeight="false" outlineLevel="0" collapsed="false">
      <c r="A152" s="13"/>
      <c r="B152" s="13"/>
      <c r="C152" s="28"/>
      <c r="D152" s="13"/>
      <c r="E152" s="13"/>
      <c r="F152" s="28"/>
      <c r="G152" s="28"/>
      <c r="H152" s="21"/>
      <c r="I152" s="21"/>
      <c r="J152" s="13"/>
      <c r="K152" s="13" t="str">
        <f aca="false">IF(A152="","",IFERROR(INDEX(Clientes!$B$2:$B$200,MATCH(B152,Clientes!$A$2:$A$200,0)),"Cliente no registrado"))</f>
        <v/>
      </c>
      <c r="L152" s="13" t="str">
        <f aca="false">IF(A152="","",IF(OR(J152="Entregado",J152="Anulado"),"No","Sí"))</f>
        <v/>
      </c>
      <c r="M152" s="13" t="str">
        <f aca="false">IF(A152="","",IF(J152="Entregado","Entregado",IF(J152="Anulado","Anulado",IF(F152="","Dato pendiente",IF(F152&lt;Control!$C$4,"Fuera de plazo","En plazo")))))</f>
        <v/>
      </c>
      <c r="N152" s="13" t="str">
        <f aca="false">IF(M152="Fuera de plazo",Control!$C$4-F152,"")</f>
        <v/>
      </c>
      <c r="O152" s="13" t="str">
        <f aca="false">IF(M152="Fuera de plazo",IF(J152="Listo para recoger","Cliente (no recoge)","Tienda o proveedor"),"")</f>
        <v/>
      </c>
      <c r="P152" s="13" t="str">
        <f aca="false">IF(A152="","",COUNTIF(Incidencias!$B$2:$B$151,A152))</f>
        <v/>
      </c>
      <c r="Q152" s="13" t="str">
        <f aca="false">IF(A152="","",COUNTIFS(Incidencias!$B$2:$B$151,A152,Incidencias!$F$2:$F$151,"Abierta"))</f>
        <v/>
      </c>
      <c r="R152" s="21" t="str">
        <f aca="false">IF(L152="Sí",H152-I152,IF(A152="","",0))</f>
        <v/>
      </c>
      <c r="S152" s="13" t="str">
        <f aca="false">IF(AND(J152="Entregado",F152&lt;&gt;"",G152&lt;&gt;""),IF(G152&lt;=F152,"Sí","No"),"")</f>
        <v/>
      </c>
      <c r="T152" s="13" t="str">
        <f aca="false">IF(A152="","",IF(K152="Cliente no registrado","Cliente sin dar de alta",IF(F152="","Falta fecha prevista",IF(AND(J152="Entregado",G152=""),"Entregado sin fecha de entrega",IF(ISNA(MATCH(J152,Inicio!$Z$1:$Z$6,0)),"Estado no reconocido",IF(F152&lt;C152,"Prevista anterior al pedido",IF(AND(G152&lt;&gt;"",G152&lt;C152),"Entrega anterior al pedido","")))))))</f>
        <v/>
      </c>
      <c r="U152" s="13" t="str">
        <f aca="false">IF(L152&lt;&gt;"Sí","",IF(M152="Dato pendiente","Poner fecha prevista y avisar al cliente",IF(M152="En plazo","Seguimiento normal",IF(J152="Listo para recoger","Recordar la recogida al cliente",IF(J152="Esperando pieza","Pedir fecha al proveedor y avisar al cliente",IF(J152="En taller","Revisar con el taller","Confirmar el pedido con el proveedor"))))))</f>
        <v/>
      </c>
      <c r="V152" s="29" t="str">
        <f aca="false">IF(M152="Dato pendiente",1000+ROW()/10000,IF(M152="Fuera de plazo",N152+ROW()/10000,""))</f>
        <v/>
      </c>
      <c r="W152" s="30" t="str">
        <f aca="false">IF(T152="","",ROW())</f>
        <v/>
      </c>
    </row>
    <row r="153" customFormat="false" ht="15" hidden="false" customHeight="false" outlineLevel="0" collapsed="false">
      <c r="A153" s="13"/>
      <c r="B153" s="13"/>
      <c r="C153" s="28"/>
      <c r="D153" s="13"/>
      <c r="E153" s="13"/>
      <c r="F153" s="28"/>
      <c r="G153" s="28"/>
      <c r="H153" s="21"/>
      <c r="I153" s="21"/>
      <c r="J153" s="13"/>
      <c r="K153" s="13" t="str">
        <f aca="false">IF(A153="","",IFERROR(INDEX(Clientes!$B$2:$B$200,MATCH(B153,Clientes!$A$2:$A$200,0)),"Cliente no registrado"))</f>
        <v/>
      </c>
      <c r="L153" s="13" t="str">
        <f aca="false">IF(A153="","",IF(OR(J153="Entregado",J153="Anulado"),"No","Sí"))</f>
        <v/>
      </c>
      <c r="M153" s="13" t="str">
        <f aca="false">IF(A153="","",IF(J153="Entregado","Entregado",IF(J153="Anulado","Anulado",IF(F153="","Dato pendiente",IF(F153&lt;Control!$C$4,"Fuera de plazo","En plazo")))))</f>
        <v/>
      </c>
      <c r="N153" s="13" t="str">
        <f aca="false">IF(M153="Fuera de plazo",Control!$C$4-F153,"")</f>
        <v/>
      </c>
      <c r="O153" s="13" t="str">
        <f aca="false">IF(M153="Fuera de plazo",IF(J153="Listo para recoger","Cliente (no recoge)","Tienda o proveedor"),"")</f>
        <v/>
      </c>
      <c r="P153" s="13" t="str">
        <f aca="false">IF(A153="","",COUNTIF(Incidencias!$B$2:$B$151,A153))</f>
        <v/>
      </c>
      <c r="Q153" s="13" t="str">
        <f aca="false">IF(A153="","",COUNTIFS(Incidencias!$B$2:$B$151,A153,Incidencias!$F$2:$F$151,"Abierta"))</f>
        <v/>
      </c>
      <c r="R153" s="21" t="str">
        <f aca="false">IF(L153="Sí",H153-I153,IF(A153="","",0))</f>
        <v/>
      </c>
      <c r="S153" s="13" t="str">
        <f aca="false">IF(AND(J153="Entregado",F153&lt;&gt;"",G153&lt;&gt;""),IF(G153&lt;=F153,"Sí","No"),"")</f>
        <v/>
      </c>
      <c r="T153" s="13" t="str">
        <f aca="false">IF(A153="","",IF(K153="Cliente no registrado","Cliente sin dar de alta",IF(F153="","Falta fecha prevista",IF(AND(J153="Entregado",G153=""),"Entregado sin fecha de entrega",IF(ISNA(MATCH(J153,Inicio!$Z$1:$Z$6,0)),"Estado no reconocido",IF(F153&lt;C153,"Prevista anterior al pedido",IF(AND(G153&lt;&gt;"",G153&lt;C153),"Entrega anterior al pedido","")))))))</f>
        <v/>
      </c>
      <c r="U153" s="13" t="str">
        <f aca="false">IF(L153&lt;&gt;"Sí","",IF(M153="Dato pendiente","Poner fecha prevista y avisar al cliente",IF(M153="En plazo","Seguimiento normal",IF(J153="Listo para recoger","Recordar la recogida al cliente",IF(J153="Esperando pieza","Pedir fecha al proveedor y avisar al cliente",IF(J153="En taller","Revisar con el taller","Confirmar el pedido con el proveedor"))))))</f>
        <v/>
      </c>
      <c r="V153" s="29" t="str">
        <f aca="false">IF(M153="Dato pendiente",1000+ROW()/10000,IF(M153="Fuera de plazo",N153+ROW()/10000,""))</f>
        <v/>
      </c>
      <c r="W153" s="30" t="str">
        <f aca="false">IF(T153="","",ROW())</f>
        <v/>
      </c>
    </row>
    <row r="154" customFormat="false" ht="15" hidden="false" customHeight="false" outlineLevel="0" collapsed="false">
      <c r="A154" s="13"/>
      <c r="B154" s="13"/>
      <c r="C154" s="28"/>
      <c r="D154" s="13"/>
      <c r="E154" s="13"/>
      <c r="F154" s="28"/>
      <c r="G154" s="28"/>
      <c r="H154" s="21"/>
      <c r="I154" s="21"/>
      <c r="J154" s="13"/>
      <c r="K154" s="13" t="str">
        <f aca="false">IF(A154="","",IFERROR(INDEX(Clientes!$B$2:$B$200,MATCH(B154,Clientes!$A$2:$A$200,0)),"Cliente no registrado"))</f>
        <v/>
      </c>
      <c r="L154" s="13" t="str">
        <f aca="false">IF(A154="","",IF(OR(J154="Entregado",J154="Anulado"),"No","Sí"))</f>
        <v/>
      </c>
      <c r="M154" s="13" t="str">
        <f aca="false">IF(A154="","",IF(J154="Entregado","Entregado",IF(J154="Anulado","Anulado",IF(F154="","Dato pendiente",IF(F154&lt;Control!$C$4,"Fuera de plazo","En plazo")))))</f>
        <v/>
      </c>
      <c r="N154" s="13" t="str">
        <f aca="false">IF(M154="Fuera de plazo",Control!$C$4-F154,"")</f>
        <v/>
      </c>
      <c r="O154" s="13" t="str">
        <f aca="false">IF(M154="Fuera de plazo",IF(J154="Listo para recoger","Cliente (no recoge)","Tienda o proveedor"),"")</f>
        <v/>
      </c>
      <c r="P154" s="13" t="str">
        <f aca="false">IF(A154="","",COUNTIF(Incidencias!$B$2:$B$151,A154))</f>
        <v/>
      </c>
      <c r="Q154" s="13" t="str">
        <f aca="false">IF(A154="","",COUNTIFS(Incidencias!$B$2:$B$151,A154,Incidencias!$F$2:$F$151,"Abierta"))</f>
        <v/>
      </c>
      <c r="R154" s="21" t="str">
        <f aca="false">IF(L154="Sí",H154-I154,IF(A154="","",0))</f>
        <v/>
      </c>
      <c r="S154" s="13" t="str">
        <f aca="false">IF(AND(J154="Entregado",F154&lt;&gt;"",G154&lt;&gt;""),IF(G154&lt;=F154,"Sí","No"),"")</f>
        <v/>
      </c>
      <c r="T154" s="13" t="str">
        <f aca="false">IF(A154="","",IF(K154="Cliente no registrado","Cliente sin dar de alta",IF(F154="","Falta fecha prevista",IF(AND(J154="Entregado",G154=""),"Entregado sin fecha de entrega",IF(ISNA(MATCH(J154,Inicio!$Z$1:$Z$6,0)),"Estado no reconocido",IF(F154&lt;C154,"Prevista anterior al pedido",IF(AND(G154&lt;&gt;"",G154&lt;C154),"Entrega anterior al pedido","")))))))</f>
        <v/>
      </c>
      <c r="U154" s="13" t="str">
        <f aca="false">IF(L154&lt;&gt;"Sí","",IF(M154="Dato pendiente","Poner fecha prevista y avisar al cliente",IF(M154="En plazo","Seguimiento normal",IF(J154="Listo para recoger","Recordar la recogida al cliente",IF(J154="Esperando pieza","Pedir fecha al proveedor y avisar al cliente",IF(J154="En taller","Revisar con el taller","Confirmar el pedido con el proveedor"))))))</f>
        <v/>
      </c>
      <c r="V154" s="29" t="str">
        <f aca="false">IF(M154="Dato pendiente",1000+ROW()/10000,IF(M154="Fuera de plazo",N154+ROW()/10000,""))</f>
        <v/>
      </c>
      <c r="W154" s="30" t="str">
        <f aca="false">IF(T154="","",ROW())</f>
        <v/>
      </c>
    </row>
    <row r="155" customFormat="false" ht="15" hidden="false" customHeight="false" outlineLevel="0" collapsed="false">
      <c r="A155" s="13"/>
      <c r="B155" s="13"/>
      <c r="C155" s="28"/>
      <c r="D155" s="13"/>
      <c r="E155" s="13"/>
      <c r="F155" s="28"/>
      <c r="G155" s="28"/>
      <c r="H155" s="21"/>
      <c r="I155" s="21"/>
      <c r="J155" s="13"/>
      <c r="K155" s="13" t="str">
        <f aca="false">IF(A155="","",IFERROR(INDEX(Clientes!$B$2:$B$200,MATCH(B155,Clientes!$A$2:$A$200,0)),"Cliente no registrado"))</f>
        <v/>
      </c>
      <c r="L155" s="13" t="str">
        <f aca="false">IF(A155="","",IF(OR(J155="Entregado",J155="Anulado"),"No","Sí"))</f>
        <v/>
      </c>
      <c r="M155" s="13" t="str">
        <f aca="false">IF(A155="","",IF(J155="Entregado","Entregado",IF(J155="Anulado","Anulado",IF(F155="","Dato pendiente",IF(F155&lt;Control!$C$4,"Fuera de plazo","En plazo")))))</f>
        <v/>
      </c>
      <c r="N155" s="13" t="str">
        <f aca="false">IF(M155="Fuera de plazo",Control!$C$4-F155,"")</f>
        <v/>
      </c>
      <c r="O155" s="13" t="str">
        <f aca="false">IF(M155="Fuera de plazo",IF(J155="Listo para recoger","Cliente (no recoge)","Tienda o proveedor"),"")</f>
        <v/>
      </c>
      <c r="P155" s="13" t="str">
        <f aca="false">IF(A155="","",COUNTIF(Incidencias!$B$2:$B$151,A155))</f>
        <v/>
      </c>
      <c r="Q155" s="13" t="str">
        <f aca="false">IF(A155="","",COUNTIFS(Incidencias!$B$2:$B$151,A155,Incidencias!$F$2:$F$151,"Abierta"))</f>
        <v/>
      </c>
      <c r="R155" s="21" t="str">
        <f aca="false">IF(L155="Sí",H155-I155,IF(A155="","",0))</f>
        <v/>
      </c>
      <c r="S155" s="13" t="str">
        <f aca="false">IF(AND(J155="Entregado",F155&lt;&gt;"",G155&lt;&gt;""),IF(G155&lt;=F155,"Sí","No"),"")</f>
        <v/>
      </c>
      <c r="T155" s="13" t="str">
        <f aca="false">IF(A155="","",IF(K155="Cliente no registrado","Cliente sin dar de alta",IF(F155="","Falta fecha prevista",IF(AND(J155="Entregado",G155=""),"Entregado sin fecha de entrega",IF(ISNA(MATCH(J155,Inicio!$Z$1:$Z$6,0)),"Estado no reconocido",IF(F155&lt;C155,"Prevista anterior al pedido",IF(AND(G155&lt;&gt;"",G155&lt;C155),"Entrega anterior al pedido","")))))))</f>
        <v/>
      </c>
      <c r="U155" s="13" t="str">
        <f aca="false">IF(L155&lt;&gt;"Sí","",IF(M155="Dato pendiente","Poner fecha prevista y avisar al cliente",IF(M155="En plazo","Seguimiento normal",IF(J155="Listo para recoger","Recordar la recogida al cliente",IF(J155="Esperando pieza","Pedir fecha al proveedor y avisar al cliente",IF(J155="En taller","Revisar con el taller","Confirmar el pedido con el proveedor"))))))</f>
        <v/>
      </c>
      <c r="V155" s="29" t="str">
        <f aca="false">IF(M155="Dato pendiente",1000+ROW()/10000,IF(M155="Fuera de plazo",N155+ROW()/10000,""))</f>
        <v/>
      </c>
      <c r="W155" s="30" t="str">
        <f aca="false">IF(T155="","",ROW())</f>
        <v/>
      </c>
    </row>
    <row r="156" customFormat="false" ht="15" hidden="false" customHeight="false" outlineLevel="0" collapsed="false">
      <c r="A156" s="13"/>
      <c r="B156" s="13"/>
      <c r="C156" s="28"/>
      <c r="D156" s="13"/>
      <c r="E156" s="13"/>
      <c r="F156" s="28"/>
      <c r="G156" s="28"/>
      <c r="H156" s="21"/>
      <c r="I156" s="21"/>
      <c r="J156" s="13"/>
      <c r="K156" s="13" t="str">
        <f aca="false">IF(A156="","",IFERROR(INDEX(Clientes!$B$2:$B$200,MATCH(B156,Clientes!$A$2:$A$200,0)),"Cliente no registrado"))</f>
        <v/>
      </c>
      <c r="L156" s="13" t="str">
        <f aca="false">IF(A156="","",IF(OR(J156="Entregado",J156="Anulado"),"No","Sí"))</f>
        <v/>
      </c>
      <c r="M156" s="13" t="str">
        <f aca="false">IF(A156="","",IF(J156="Entregado","Entregado",IF(J156="Anulado","Anulado",IF(F156="","Dato pendiente",IF(F156&lt;Control!$C$4,"Fuera de plazo","En plazo")))))</f>
        <v/>
      </c>
      <c r="N156" s="13" t="str">
        <f aca="false">IF(M156="Fuera de plazo",Control!$C$4-F156,"")</f>
        <v/>
      </c>
      <c r="O156" s="13" t="str">
        <f aca="false">IF(M156="Fuera de plazo",IF(J156="Listo para recoger","Cliente (no recoge)","Tienda o proveedor"),"")</f>
        <v/>
      </c>
      <c r="P156" s="13" t="str">
        <f aca="false">IF(A156="","",COUNTIF(Incidencias!$B$2:$B$151,A156))</f>
        <v/>
      </c>
      <c r="Q156" s="13" t="str">
        <f aca="false">IF(A156="","",COUNTIFS(Incidencias!$B$2:$B$151,A156,Incidencias!$F$2:$F$151,"Abierta"))</f>
        <v/>
      </c>
      <c r="R156" s="21" t="str">
        <f aca="false">IF(L156="Sí",H156-I156,IF(A156="","",0))</f>
        <v/>
      </c>
      <c r="S156" s="13" t="str">
        <f aca="false">IF(AND(J156="Entregado",F156&lt;&gt;"",G156&lt;&gt;""),IF(G156&lt;=F156,"Sí","No"),"")</f>
        <v/>
      </c>
      <c r="T156" s="13" t="str">
        <f aca="false">IF(A156="","",IF(K156="Cliente no registrado","Cliente sin dar de alta",IF(F156="","Falta fecha prevista",IF(AND(J156="Entregado",G156=""),"Entregado sin fecha de entrega",IF(ISNA(MATCH(J156,Inicio!$Z$1:$Z$6,0)),"Estado no reconocido",IF(F156&lt;C156,"Prevista anterior al pedido",IF(AND(G156&lt;&gt;"",G156&lt;C156),"Entrega anterior al pedido","")))))))</f>
        <v/>
      </c>
      <c r="U156" s="13" t="str">
        <f aca="false">IF(L156&lt;&gt;"Sí","",IF(M156="Dato pendiente","Poner fecha prevista y avisar al cliente",IF(M156="En plazo","Seguimiento normal",IF(J156="Listo para recoger","Recordar la recogida al cliente",IF(J156="Esperando pieza","Pedir fecha al proveedor y avisar al cliente",IF(J156="En taller","Revisar con el taller","Confirmar el pedido con el proveedor"))))))</f>
        <v/>
      </c>
      <c r="V156" s="29" t="str">
        <f aca="false">IF(M156="Dato pendiente",1000+ROW()/10000,IF(M156="Fuera de plazo",N156+ROW()/10000,""))</f>
        <v/>
      </c>
      <c r="W156" s="30" t="str">
        <f aca="false">IF(T156="","",ROW())</f>
        <v/>
      </c>
    </row>
    <row r="157" customFormat="false" ht="15" hidden="false" customHeight="false" outlineLevel="0" collapsed="false">
      <c r="A157" s="13"/>
      <c r="B157" s="13"/>
      <c r="C157" s="28"/>
      <c r="D157" s="13"/>
      <c r="E157" s="13"/>
      <c r="F157" s="28"/>
      <c r="G157" s="28"/>
      <c r="H157" s="21"/>
      <c r="I157" s="21"/>
      <c r="J157" s="13"/>
      <c r="K157" s="13" t="str">
        <f aca="false">IF(A157="","",IFERROR(INDEX(Clientes!$B$2:$B$200,MATCH(B157,Clientes!$A$2:$A$200,0)),"Cliente no registrado"))</f>
        <v/>
      </c>
      <c r="L157" s="13" t="str">
        <f aca="false">IF(A157="","",IF(OR(J157="Entregado",J157="Anulado"),"No","Sí"))</f>
        <v/>
      </c>
      <c r="M157" s="13" t="str">
        <f aca="false">IF(A157="","",IF(J157="Entregado","Entregado",IF(J157="Anulado","Anulado",IF(F157="","Dato pendiente",IF(F157&lt;Control!$C$4,"Fuera de plazo","En plazo")))))</f>
        <v/>
      </c>
      <c r="N157" s="13" t="str">
        <f aca="false">IF(M157="Fuera de plazo",Control!$C$4-F157,"")</f>
        <v/>
      </c>
      <c r="O157" s="13" t="str">
        <f aca="false">IF(M157="Fuera de plazo",IF(J157="Listo para recoger","Cliente (no recoge)","Tienda o proveedor"),"")</f>
        <v/>
      </c>
      <c r="P157" s="13" t="str">
        <f aca="false">IF(A157="","",COUNTIF(Incidencias!$B$2:$B$151,A157))</f>
        <v/>
      </c>
      <c r="Q157" s="13" t="str">
        <f aca="false">IF(A157="","",COUNTIFS(Incidencias!$B$2:$B$151,A157,Incidencias!$F$2:$F$151,"Abierta"))</f>
        <v/>
      </c>
      <c r="R157" s="21" t="str">
        <f aca="false">IF(L157="Sí",H157-I157,IF(A157="","",0))</f>
        <v/>
      </c>
      <c r="S157" s="13" t="str">
        <f aca="false">IF(AND(J157="Entregado",F157&lt;&gt;"",G157&lt;&gt;""),IF(G157&lt;=F157,"Sí","No"),"")</f>
        <v/>
      </c>
      <c r="T157" s="13" t="str">
        <f aca="false">IF(A157="","",IF(K157="Cliente no registrado","Cliente sin dar de alta",IF(F157="","Falta fecha prevista",IF(AND(J157="Entregado",G157=""),"Entregado sin fecha de entrega",IF(ISNA(MATCH(J157,Inicio!$Z$1:$Z$6,0)),"Estado no reconocido",IF(F157&lt;C157,"Prevista anterior al pedido",IF(AND(G157&lt;&gt;"",G157&lt;C157),"Entrega anterior al pedido","")))))))</f>
        <v/>
      </c>
      <c r="U157" s="13" t="str">
        <f aca="false">IF(L157&lt;&gt;"Sí","",IF(M157="Dato pendiente","Poner fecha prevista y avisar al cliente",IF(M157="En plazo","Seguimiento normal",IF(J157="Listo para recoger","Recordar la recogida al cliente",IF(J157="Esperando pieza","Pedir fecha al proveedor y avisar al cliente",IF(J157="En taller","Revisar con el taller","Confirmar el pedido con el proveedor"))))))</f>
        <v/>
      </c>
      <c r="V157" s="29" t="str">
        <f aca="false">IF(M157="Dato pendiente",1000+ROW()/10000,IF(M157="Fuera de plazo",N157+ROW()/10000,""))</f>
        <v/>
      </c>
      <c r="W157" s="30" t="str">
        <f aca="false">IF(T157="","",ROW())</f>
        <v/>
      </c>
    </row>
    <row r="158" customFormat="false" ht="15" hidden="false" customHeight="false" outlineLevel="0" collapsed="false">
      <c r="A158" s="13"/>
      <c r="B158" s="13"/>
      <c r="C158" s="28"/>
      <c r="D158" s="13"/>
      <c r="E158" s="13"/>
      <c r="F158" s="28"/>
      <c r="G158" s="28"/>
      <c r="H158" s="21"/>
      <c r="I158" s="21"/>
      <c r="J158" s="13"/>
      <c r="K158" s="13" t="str">
        <f aca="false">IF(A158="","",IFERROR(INDEX(Clientes!$B$2:$B$200,MATCH(B158,Clientes!$A$2:$A$200,0)),"Cliente no registrado"))</f>
        <v/>
      </c>
      <c r="L158" s="13" t="str">
        <f aca="false">IF(A158="","",IF(OR(J158="Entregado",J158="Anulado"),"No","Sí"))</f>
        <v/>
      </c>
      <c r="M158" s="13" t="str">
        <f aca="false">IF(A158="","",IF(J158="Entregado","Entregado",IF(J158="Anulado","Anulado",IF(F158="","Dato pendiente",IF(F158&lt;Control!$C$4,"Fuera de plazo","En plazo")))))</f>
        <v/>
      </c>
      <c r="N158" s="13" t="str">
        <f aca="false">IF(M158="Fuera de plazo",Control!$C$4-F158,"")</f>
        <v/>
      </c>
      <c r="O158" s="13" t="str">
        <f aca="false">IF(M158="Fuera de plazo",IF(J158="Listo para recoger","Cliente (no recoge)","Tienda o proveedor"),"")</f>
        <v/>
      </c>
      <c r="P158" s="13" t="str">
        <f aca="false">IF(A158="","",COUNTIF(Incidencias!$B$2:$B$151,A158))</f>
        <v/>
      </c>
      <c r="Q158" s="13" t="str">
        <f aca="false">IF(A158="","",COUNTIFS(Incidencias!$B$2:$B$151,A158,Incidencias!$F$2:$F$151,"Abierta"))</f>
        <v/>
      </c>
      <c r="R158" s="21" t="str">
        <f aca="false">IF(L158="Sí",H158-I158,IF(A158="","",0))</f>
        <v/>
      </c>
      <c r="S158" s="13" t="str">
        <f aca="false">IF(AND(J158="Entregado",F158&lt;&gt;"",G158&lt;&gt;""),IF(G158&lt;=F158,"Sí","No"),"")</f>
        <v/>
      </c>
      <c r="T158" s="13" t="str">
        <f aca="false">IF(A158="","",IF(K158="Cliente no registrado","Cliente sin dar de alta",IF(F158="","Falta fecha prevista",IF(AND(J158="Entregado",G158=""),"Entregado sin fecha de entrega",IF(ISNA(MATCH(J158,Inicio!$Z$1:$Z$6,0)),"Estado no reconocido",IF(F158&lt;C158,"Prevista anterior al pedido",IF(AND(G158&lt;&gt;"",G158&lt;C158),"Entrega anterior al pedido","")))))))</f>
        <v/>
      </c>
      <c r="U158" s="13" t="str">
        <f aca="false">IF(L158&lt;&gt;"Sí","",IF(M158="Dato pendiente","Poner fecha prevista y avisar al cliente",IF(M158="En plazo","Seguimiento normal",IF(J158="Listo para recoger","Recordar la recogida al cliente",IF(J158="Esperando pieza","Pedir fecha al proveedor y avisar al cliente",IF(J158="En taller","Revisar con el taller","Confirmar el pedido con el proveedor"))))))</f>
        <v/>
      </c>
      <c r="V158" s="29" t="str">
        <f aca="false">IF(M158="Dato pendiente",1000+ROW()/10000,IF(M158="Fuera de plazo",N158+ROW()/10000,""))</f>
        <v/>
      </c>
      <c r="W158" s="30" t="str">
        <f aca="false">IF(T158="","",ROW())</f>
        <v/>
      </c>
    </row>
    <row r="159" customFormat="false" ht="15" hidden="false" customHeight="false" outlineLevel="0" collapsed="false">
      <c r="A159" s="13"/>
      <c r="B159" s="13"/>
      <c r="C159" s="28"/>
      <c r="D159" s="13"/>
      <c r="E159" s="13"/>
      <c r="F159" s="28"/>
      <c r="G159" s="28"/>
      <c r="H159" s="21"/>
      <c r="I159" s="21"/>
      <c r="J159" s="13"/>
      <c r="K159" s="13" t="str">
        <f aca="false">IF(A159="","",IFERROR(INDEX(Clientes!$B$2:$B$200,MATCH(B159,Clientes!$A$2:$A$200,0)),"Cliente no registrado"))</f>
        <v/>
      </c>
      <c r="L159" s="13" t="str">
        <f aca="false">IF(A159="","",IF(OR(J159="Entregado",J159="Anulado"),"No","Sí"))</f>
        <v/>
      </c>
      <c r="M159" s="13" t="str">
        <f aca="false">IF(A159="","",IF(J159="Entregado","Entregado",IF(J159="Anulado","Anulado",IF(F159="","Dato pendiente",IF(F159&lt;Control!$C$4,"Fuera de plazo","En plazo")))))</f>
        <v/>
      </c>
      <c r="N159" s="13" t="str">
        <f aca="false">IF(M159="Fuera de plazo",Control!$C$4-F159,"")</f>
        <v/>
      </c>
      <c r="O159" s="13" t="str">
        <f aca="false">IF(M159="Fuera de plazo",IF(J159="Listo para recoger","Cliente (no recoge)","Tienda o proveedor"),"")</f>
        <v/>
      </c>
      <c r="P159" s="13" t="str">
        <f aca="false">IF(A159="","",COUNTIF(Incidencias!$B$2:$B$151,A159))</f>
        <v/>
      </c>
      <c r="Q159" s="13" t="str">
        <f aca="false">IF(A159="","",COUNTIFS(Incidencias!$B$2:$B$151,A159,Incidencias!$F$2:$F$151,"Abierta"))</f>
        <v/>
      </c>
      <c r="R159" s="21" t="str">
        <f aca="false">IF(L159="Sí",H159-I159,IF(A159="","",0))</f>
        <v/>
      </c>
      <c r="S159" s="13" t="str">
        <f aca="false">IF(AND(J159="Entregado",F159&lt;&gt;"",G159&lt;&gt;""),IF(G159&lt;=F159,"Sí","No"),"")</f>
        <v/>
      </c>
      <c r="T159" s="13" t="str">
        <f aca="false">IF(A159="","",IF(K159="Cliente no registrado","Cliente sin dar de alta",IF(F159="","Falta fecha prevista",IF(AND(J159="Entregado",G159=""),"Entregado sin fecha de entrega",IF(ISNA(MATCH(J159,Inicio!$Z$1:$Z$6,0)),"Estado no reconocido",IF(F159&lt;C159,"Prevista anterior al pedido",IF(AND(G159&lt;&gt;"",G159&lt;C159),"Entrega anterior al pedido","")))))))</f>
        <v/>
      </c>
      <c r="U159" s="13" t="str">
        <f aca="false">IF(L159&lt;&gt;"Sí","",IF(M159="Dato pendiente","Poner fecha prevista y avisar al cliente",IF(M159="En plazo","Seguimiento normal",IF(J159="Listo para recoger","Recordar la recogida al cliente",IF(J159="Esperando pieza","Pedir fecha al proveedor y avisar al cliente",IF(J159="En taller","Revisar con el taller","Confirmar el pedido con el proveedor"))))))</f>
        <v/>
      </c>
      <c r="V159" s="29" t="str">
        <f aca="false">IF(M159="Dato pendiente",1000+ROW()/10000,IF(M159="Fuera de plazo",N159+ROW()/10000,""))</f>
        <v/>
      </c>
      <c r="W159" s="30" t="str">
        <f aca="false">IF(T159="","",ROW())</f>
        <v/>
      </c>
    </row>
    <row r="160" customFormat="false" ht="15" hidden="false" customHeight="false" outlineLevel="0" collapsed="false">
      <c r="A160" s="13"/>
      <c r="B160" s="13"/>
      <c r="C160" s="28"/>
      <c r="D160" s="13"/>
      <c r="E160" s="13"/>
      <c r="F160" s="28"/>
      <c r="G160" s="28"/>
      <c r="H160" s="21"/>
      <c r="I160" s="21"/>
      <c r="J160" s="13"/>
      <c r="K160" s="13" t="str">
        <f aca="false">IF(A160="","",IFERROR(INDEX(Clientes!$B$2:$B$200,MATCH(B160,Clientes!$A$2:$A$200,0)),"Cliente no registrado"))</f>
        <v/>
      </c>
      <c r="L160" s="13" t="str">
        <f aca="false">IF(A160="","",IF(OR(J160="Entregado",J160="Anulado"),"No","Sí"))</f>
        <v/>
      </c>
      <c r="M160" s="13" t="str">
        <f aca="false">IF(A160="","",IF(J160="Entregado","Entregado",IF(J160="Anulado","Anulado",IF(F160="","Dato pendiente",IF(F160&lt;Control!$C$4,"Fuera de plazo","En plazo")))))</f>
        <v/>
      </c>
      <c r="N160" s="13" t="str">
        <f aca="false">IF(M160="Fuera de plazo",Control!$C$4-F160,"")</f>
        <v/>
      </c>
      <c r="O160" s="13" t="str">
        <f aca="false">IF(M160="Fuera de plazo",IF(J160="Listo para recoger","Cliente (no recoge)","Tienda o proveedor"),"")</f>
        <v/>
      </c>
      <c r="P160" s="13" t="str">
        <f aca="false">IF(A160="","",COUNTIF(Incidencias!$B$2:$B$151,A160))</f>
        <v/>
      </c>
      <c r="Q160" s="13" t="str">
        <f aca="false">IF(A160="","",COUNTIFS(Incidencias!$B$2:$B$151,A160,Incidencias!$F$2:$F$151,"Abierta"))</f>
        <v/>
      </c>
      <c r="R160" s="21" t="str">
        <f aca="false">IF(L160="Sí",H160-I160,IF(A160="","",0))</f>
        <v/>
      </c>
      <c r="S160" s="13" t="str">
        <f aca="false">IF(AND(J160="Entregado",F160&lt;&gt;"",G160&lt;&gt;""),IF(G160&lt;=F160,"Sí","No"),"")</f>
        <v/>
      </c>
      <c r="T160" s="13" t="str">
        <f aca="false">IF(A160="","",IF(K160="Cliente no registrado","Cliente sin dar de alta",IF(F160="","Falta fecha prevista",IF(AND(J160="Entregado",G160=""),"Entregado sin fecha de entrega",IF(ISNA(MATCH(J160,Inicio!$Z$1:$Z$6,0)),"Estado no reconocido",IF(F160&lt;C160,"Prevista anterior al pedido",IF(AND(G160&lt;&gt;"",G160&lt;C160),"Entrega anterior al pedido","")))))))</f>
        <v/>
      </c>
      <c r="U160" s="13" t="str">
        <f aca="false">IF(L160&lt;&gt;"Sí","",IF(M160="Dato pendiente","Poner fecha prevista y avisar al cliente",IF(M160="En plazo","Seguimiento normal",IF(J160="Listo para recoger","Recordar la recogida al cliente",IF(J160="Esperando pieza","Pedir fecha al proveedor y avisar al cliente",IF(J160="En taller","Revisar con el taller","Confirmar el pedido con el proveedor"))))))</f>
        <v/>
      </c>
      <c r="V160" s="29" t="str">
        <f aca="false">IF(M160="Dato pendiente",1000+ROW()/10000,IF(M160="Fuera de plazo",N160+ROW()/10000,""))</f>
        <v/>
      </c>
      <c r="W160" s="30" t="str">
        <f aca="false">IF(T160="","",ROW())</f>
        <v/>
      </c>
    </row>
    <row r="161" customFormat="false" ht="15" hidden="false" customHeight="false" outlineLevel="0" collapsed="false">
      <c r="A161" s="13"/>
      <c r="B161" s="13"/>
      <c r="C161" s="28"/>
      <c r="D161" s="13"/>
      <c r="E161" s="13"/>
      <c r="F161" s="28"/>
      <c r="G161" s="28"/>
      <c r="H161" s="21"/>
      <c r="I161" s="21"/>
      <c r="J161" s="13"/>
      <c r="K161" s="13" t="str">
        <f aca="false">IF(A161="","",IFERROR(INDEX(Clientes!$B$2:$B$200,MATCH(B161,Clientes!$A$2:$A$200,0)),"Cliente no registrado"))</f>
        <v/>
      </c>
      <c r="L161" s="13" t="str">
        <f aca="false">IF(A161="","",IF(OR(J161="Entregado",J161="Anulado"),"No","Sí"))</f>
        <v/>
      </c>
      <c r="M161" s="13" t="str">
        <f aca="false">IF(A161="","",IF(J161="Entregado","Entregado",IF(J161="Anulado","Anulado",IF(F161="","Dato pendiente",IF(F161&lt;Control!$C$4,"Fuera de plazo","En plazo")))))</f>
        <v/>
      </c>
      <c r="N161" s="13" t="str">
        <f aca="false">IF(M161="Fuera de plazo",Control!$C$4-F161,"")</f>
        <v/>
      </c>
      <c r="O161" s="13" t="str">
        <f aca="false">IF(M161="Fuera de plazo",IF(J161="Listo para recoger","Cliente (no recoge)","Tienda o proveedor"),"")</f>
        <v/>
      </c>
      <c r="P161" s="13" t="str">
        <f aca="false">IF(A161="","",COUNTIF(Incidencias!$B$2:$B$151,A161))</f>
        <v/>
      </c>
      <c r="Q161" s="13" t="str">
        <f aca="false">IF(A161="","",COUNTIFS(Incidencias!$B$2:$B$151,A161,Incidencias!$F$2:$F$151,"Abierta"))</f>
        <v/>
      </c>
      <c r="R161" s="21" t="str">
        <f aca="false">IF(L161="Sí",H161-I161,IF(A161="","",0))</f>
        <v/>
      </c>
      <c r="S161" s="13" t="str">
        <f aca="false">IF(AND(J161="Entregado",F161&lt;&gt;"",G161&lt;&gt;""),IF(G161&lt;=F161,"Sí","No"),"")</f>
        <v/>
      </c>
      <c r="T161" s="13" t="str">
        <f aca="false">IF(A161="","",IF(K161="Cliente no registrado","Cliente sin dar de alta",IF(F161="","Falta fecha prevista",IF(AND(J161="Entregado",G161=""),"Entregado sin fecha de entrega",IF(ISNA(MATCH(J161,Inicio!$Z$1:$Z$6,0)),"Estado no reconocido",IF(F161&lt;C161,"Prevista anterior al pedido",IF(AND(G161&lt;&gt;"",G161&lt;C161),"Entrega anterior al pedido","")))))))</f>
        <v/>
      </c>
      <c r="U161" s="13" t="str">
        <f aca="false">IF(L161&lt;&gt;"Sí","",IF(M161="Dato pendiente","Poner fecha prevista y avisar al cliente",IF(M161="En plazo","Seguimiento normal",IF(J161="Listo para recoger","Recordar la recogida al cliente",IF(J161="Esperando pieza","Pedir fecha al proveedor y avisar al cliente",IF(J161="En taller","Revisar con el taller","Confirmar el pedido con el proveedor"))))))</f>
        <v/>
      </c>
      <c r="V161" s="29" t="str">
        <f aca="false">IF(M161="Dato pendiente",1000+ROW()/10000,IF(M161="Fuera de plazo",N161+ROW()/10000,""))</f>
        <v/>
      </c>
      <c r="W161" s="30" t="str">
        <f aca="false">IF(T161="","",ROW())</f>
        <v/>
      </c>
    </row>
    <row r="162" customFormat="false" ht="15" hidden="false" customHeight="false" outlineLevel="0" collapsed="false">
      <c r="A162" s="13"/>
      <c r="B162" s="13"/>
      <c r="C162" s="28"/>
      <c r="D162" s="13"/>
      <c r="E162" s="13"/>
      <c r="F162" s="28"/>
      <c r="G162" s="28"/>
      <c r="H162" s="21"/>
      <c r="I162" s="21"/>
      <c r="J162" s="13"/>
      <c r="K162" s="13" t="str">
        <f aca="false">IF(A162="","",IFERROR(INDEX(Clientes!$B$2:$B$200,MATCH(B162,Clientes!$A$2:$A$200,0)),"Cliente no registrado"))</f>
        <v/>
      </c>
      <c r="L162" s="13" t="str">
        <f aca="false">IF(A162="","",IF(OR(J162="Entregado",J162="Anulado"),"No","Sí"))</f>
        <v/>
      </c>
      <c r="M162" s="13" t="str">
        <f aca="false">IF(A162="","",IF(J162="Entregado","Entregado",IF(J162="Anulado","Anulado",IF(F162="","Dato pendiente",IF(F162&lt;Control!$C$4,"Fuera de plazo","En plazo")))))</f>
        <v/>
      </c>
      <c r="N162" s="13" t="str">
        <f aca="false">IF(M162="Fuera de plazo",Control!$C$4-F162,"")</f>
        <v/>
      </c>
      <c r="O162" s="13" t="str">
        <f aca="false">IF(M162="Fuera de plazo",IF(J162="Listo para recoger","Cliente (no recoge)","Tienda o proveedor"),"")</f>
        <v/>
      </c>
      <c r="P162" s="13" t="str">
        <f aca="false">IF(A162="","",COUNTIF(Incidencias!$B$2:$B$151,A162))</f>
        <v/>
      </c>
      <c r="Q162" s="13" t="str">
        <f aca="false">IF(A162="","",COUNTIFS(Incidencias!$B$2:$B$151,A162,Incidencias!$F$2:$F$151,"Abierta"))</f>
        <v/>
      </c>
      <c r="R162" s="21" t="str">
        <f aca="false">IF(L162="Sí",H162-I162,IF(A162="","",0))</f>
        <v/>
      </c>
      <c r="S162" s="13" t="str">
        <f aca="false">IF(AND(J162="Entregado",F162&lt;&gt;"",G162&lt;&gt;""),IF(G162&lt;=F162,"Sí","No"),"")</f>
        <v/>
      </c>
      <c r="T162" s="13" t="str">
        <f aca="false">IF(A162="","",IF(K162="Cliente no registrado","Cliente sin dar de alta",IF(F162="","Falta fecha prevista",IF(AND(J162="Entregado",G162=""),"Entregado sin fecha de entrega",IF(ISNA(MATCH(J162,Inicio!$Z$1:$Z$6,0)),"Estado no reconocido",IF(F162&lt;C162,"Prevista anterior al pedido",IF(AND(G162&lt;&gt;"",G162&lt;C162),"Entrega anterior al pedido","")))))))</f>
        <v/>
      </c>
      <c r="U162" s="13" t="str">
        <f aca="false">IF(L162&lt;&gt;"Sí","",IF(M162="Dato pendiente","Poner fecha prevista y avisar al cliente",IF(M162="En plazo","Seguimiento normal",IF(J162="Listo para recoger","Recordar la recogida al cliente",IF(J162="Esperando pieza","Pedir fecha al proveedor y avisar al cliente",IF(J162="En taller","Revisar con el taller","Confirmar el pedido con el proveedor"))))))</f>
        <v/>
      </c>
      <c r="V162" s="29" t="str">
        <f aca="false">IF(M162="Dato pendiente",1000+ROW()/10000,IF(M162="Fuera de plazo",N162+ROW()/10000,""))</f>
        <v/>
      </c>
      <c r="W162" s="30" t="str">
        <f aca="false">IF(T162="","",ROW())</f>
        <v/>
      </c>
    </row>
    <row r="163" customFormat="false" ht="15" hidden="false" customHeight="false" outlineLevel="0" collapsed="false">
      <c r="A163" s="13"/>
      <c r="B163" s="13"/>
      <c r="C163" s="28"/>
      <c r="D163" s="13"/>
      <c r="E163" s="13"/>
      <c r="F163" s="28"/>
      <c r="G163" s="28"/>
      <c r="H163" s="21"/>
      <c r="I163" s="21"/>
      <c r="J163" s="13"/>
      <c r="K163" s="13" t="str">
        <f aca="false">IF(A163="","",IFERROR(INDEX(Clientes!$B$2:$B$200,MATCH(B163,Clientes!$A$2:$A$200,0)),"Cliente no registrado"))</f>
        <v/>
      </c>
      <c r="L163" s="13" t="str">
        <f aca="false">IF(A163="","",IF(OR(J163="Entregado",J163="Anulado"),"No","Sí"))</f>
        <v/>
      </c>
      <c r="M163" s="13" t="str">
        <f aca="false">IF(A163="","",IF(J163="Entregado","Entregado",IF(J163="Anulado","Anulado",IF(F163="","Dato pendiente",IF(F163&lt;Control!$C$4,"Fuera de plazo","En plazo")))))</f>
        <v/>
      </c>
      <c r="N163" s="13" t="str">
        <f aca="false">IF(M163="Fuera de plazo",Control!$C$4-F163,"")</f>
        <v/>
      </c>
      <c r="O163" s="13" t="str">
        <f aca="false">IF(M163="Fuera de plazo",IF(J163="Listo para recoger","Cliente (no recoge)","Tienda o proveedor"),"")</f>
        <v/>
      </c>
      <c r="P163" s="13" t="str">
        <f aca="false">IF(A163="","",COUNTIF(Incidencias!$B$2:$B$151,A163))</f>
        <v/>
      </c>
      <c r="Q163" s="13" t="str">
        <f aca="false">IF(A163="","",COUNTIFS(Incidencias!$B$2:$B$151,A163,Incidencias!$F$2:$F$151,"Abierta"))</f>
        <v/>
      </c>
      <c r="R163" s="21" t="str">
        <f aca="false">IF(L163="Sí",H163-I163,IF(A163="","",0))</f>
        <v/>
      </c>
      <c r="S163" s="13" t="str">
        <f aca="false">IF(AND(J163="Entregado",F163&lt;&gt;"",G163&lt;&gt;""),IF(G163&lt;=F163,"Sí","No"),"")</f>
        <v/>
      </c>
      <c r="T163" s="13" t="str">
        <f aca="false">IF(A163="","",IF(K163="Cliente no registrado","Cliente sin dar de alta",IF(F163="","Falta fecha prevista",IF(AND(J163="Entregado",G163=""),"Entregado sin fecha de entrega",IF(ISNA(MATCH(J163,Inicio!$Z$1:$Z$6,0)),"Estado no reconocido",IF(F163&lt;C163,"Prevista anterior al pedido",IF(AND(G163&lt;&gt;"",G163&lt;C163),"Entrega anterior al pedido","")))))))</f>
        <v/>
      </c>
      <c r="U163" s="13" t="str">
        <f aca="false">IF(L163&lt;&gt;"Sí","",IF(M163="Dato pendiente","Poner fecha prevista y avisar al cliente",IF(M163="En plazo","Seguimiento normal",IF(J163="Listo para recoger","Recordar la recogida al cliente",IF(J163="Esperando pieza","Pedir fecha al proveedor y avisar al cliente",IF(J163="En taller","Revisar con el taller","Confirmar el pedido con el proveedor"))))))</f>
        <v/>
      </c>
      <c r="V163" s="29" t="str">
        <f aca="false">IF(M163="Dato pendiente",1000+ROW()/10000,IF(M163="Fuera de plazo",N163+ROW()/10000,""))</f>
        <v/>
      </c>
      <c r="W163" s="30" t="str">
        <f aca="false">IF(T163="","",ROW())</f>
        <v/>
      </c>
    </row>
    <row r="164" customFormat="false" ht="15" hidden="false" customHeight="false" outlineLevel="0" collapsed="false">
      <c r="A164" s="13"/>
      <c r="B164" s="13"/>
      <c r="C164" s="28"/>
      <c r="D164" s="13"/>
      <c r="E164" s="13"/>
      <c r="F164" s="28"/>
      <c r="G164" s="28"/>
      <c r="H164" s="21"/>
      <c r="I164" s="21"/>
      <c r="J164" s="13"/>
      <c r="K164" s="13" t="str">
        <f aca="false">IF(A164="","",IFERROR(INDEX(Clientes!$B$2:$B$200,MATCH(B164,Clientes!$A$2:$A$200,0)),"Cliente no registrado"))</f>
        <v/>
      </c>
      <c r="L164" s="13" t="str">
        <f aca="false">IF(A164="","",IF(OR(J164="Entregado",J164="Anulado"),"No","Sí"))</f>
        <v/>
      </c>
      <c r="M164" s="13" t="str">
        <f aca="false">IF(A164="","",IF(J164="Entregado","Entregado",IF(J164="Anulado","Anulado",IF(F164="","Dato pendiente",IF(F164&lt;Control!$C$4,"Fuera de plazo","En plazo")))))</f>
        <v/>
      </c>
      <c r="N164" s="13" t="str">
        <f aca="false">IF(M164="Fuera de plazo",Control!$C$4-F164,"")</f>
        <v/>
      </c>
      <c r="O164" s="13" t="str">
        <f aca="false">IF(M164="Fuera de plazo",IF(J164="Listo para recoger","Cliente (no recoge)","Tienda o proveedor"),"")</f>
        <v/>
      </c>
      <c r="P164" s="13" t="str">
        <f aca="false">IF(A164="","",COUNTIF(Incidencias!$B$2:$B$151,A164))</f>
        <v/>
      </c>
      <c r="Q164" s="13" t="str">
        <f aca="false">IF(A164="","",COUNTIFS(Incidencias!$B$2:$B$151,A164,Incidencias!$F$2:$F$151,"Abierta"))</f>
        <v/>
      </c>
      <c r="R164" s="21" t="str">
        <f aca="false">IF(L164="Sí",H164-I164,IF(A164="","",0))</f>
        <v/>
      </c>
      <c r="S164" s="13" t="str">
        <f aca="false">IF(AND(J164="Entregado",F164&lt;&gt;"",G164&lt;&gt;""),IF(G164&lt;=F164,"Sí","No"),"")</f>
        <v/>
      </c>
      <c r="T164" s="13" t="str">
        <f aca="false">IF(A164="","",IF(K164="Cliente no registrado","Cliente sin dar de alta",IF(F164="","Falta fecha prevista",IF(AND(J164="Entregado",G164=""),"Entregado sin fecha de entrega",IF(ISNA(MATCH(J164,Inicio!$Z$1:$Z$6,0)),"Estado no reconocido",IF(F164&lt;C164,"Prevista anterior al pedido",IF(AND(G164&lt;&gt;"",G164&lt;C164),"Entrega anterior al pedido","")))))))</f>
        <v/>
      </c>
      <c r="U164" s="13" t="str">
        <f aca="false">IF(L164&lt;&gt;"Sí","",IF(M164="Dato pendiente","Poner fecha prevista y avisar al cliente",IF(M164="En plazo","Seguimiento normal",IF(J164="Listo para recoger","Recordar la recogida al cliente",IF(J164="Esperando pieza","Pedir fecha al proveedor y avisar al cliente",IF(J164="En taller","Revisar con el taller","Confirmar el pedido con el proveedor"))))))</f>
        <v/>
      </c>
      <c r="V164" s="29" t="str">
        <f aca="false">IF(M164="Dato pendiente",1000+ROW()/10000,IF(M164="Fuera de plazo",N164+ROW()/10000,""))</f>
        <v/>
      </c>
      <c r="W164" s="30" t="str">
        <f aca="false">IF(T164="","",ROW())</f>
        <v/>
      </c>
    </row>
    <row r="165" customFormat="false" ht="15" hidden="false" customHeight="false" outlineLevel="0" collapsed="false">
      <c r="A165" s="13"/>
      <c r="B165" s="13"/>
      <c r="C165" s="28"/>
      <c r="D165" s="13"/>
      <c r="E165" s="13"/>
      <c r="F165" s="28"/>
      <c r="G165" s="28"/>
      <c r="H165" s="21"/>
      <c r="I165" s="21"/>
      <c r="J165" s="13"/>
      <c r="K165" s="13" t="str">
        <f aca="false">IF(A165="","",IFERROR(INDEX(Clientes!$B$2:$B$200,MATCH(B165,Clientes!$A$2:$A$200,0)),"Cliente no registrado"))</f>
        <v/>
      </c>
      <c r="L165" s="13" t="str">
        <f aca="false">IF(A165="","",IF(OR(J165="Entregado",J165="Anulado"),"No","Sí"))</f>
        <v/>
      </c>
      <c r="M165" s="13" t="str">
        <f aca="false">IF(A165="","",IF(J165="Entregado","Entregado",IF(J165="Anulado","Anulado",IF(F165="","Dato pendiente",IF(F165&lt;Control!$C$4,"Fuera de plazo","En plazo")))))</f>
        <v/>
      </c>
      <c r="N165" s="13" t="str">
        <f aca="false">IF(M165="Fuera de plazo",Control!$C$4-F165,"")</f>
        <v/>
      </c>
      <c r="O165" s="13" t="str">
        <f aca="false">IF(M165="Fuera de plazo",IF(J165="Listo para recoger","Cliente (no recoge)","Tienda o proveedor"),"")</f>
        <v/>
      </c>
      <c r="P165" s="13" t="str">
        <f aca="false">IF(A165="","",COUNTIF(Incidencias!$B$2:$B$151,A165))</f>
        <v/>
      </c>
      <c r="Q165" s="13" t="str">
        <f aca="false">IF(A165="","",COUNTIFS(Incidencias!$B$2:$B$151,A165,Incidencias!$F$2:$F$151,"Abierta"))</f>
        <v/>
      </c>
      <c r="R165" s="21" t="str">
        <f aca="false">IF(L165="Sí",H165-I165,IF(A165="","",0))</f>
        <v/>
      </c>
      <c r="S165" s="13" t="str">
        <f aca="false">IF(AND(J165="Entregado",F165&lt;&gt;"",G165&lt;&gt;""),IF(G165&lt;=F165,"Sí","No"),"")</f>
        <v/>
      </c>
      <c r="T165" s="13" t="str">
        <f aca="false">IF(A165="","",IF(K165="Cliente no registrado","Cliente sin dar de alta",IF(F165="","Falta fecha prevista",IF(AND(J165="Entregado",G165=""),"Entregado sin fecha de entrega",IF(ISNA(MATCH(J165,Inicio!$Z$1:$Z$6,0)),"Estado no reconocido",IF(F165&lt;C165,"Prevista anterior al pedido",IF(AND(G165&lt;&gt;"",G165&lt;C165),"Entrega anterior al pedido","")))))))</f>
        <v/>
      </c>
      <c r="U165" s="13" t="str">
        <f aca="false">IF(L165&lt;&gt;"Sí","",IF(M165="Dato pendiente","Poner fecha prevista y avisar al cliente",IF(M165="En plazo","Seguimiento normal",IF(J165="Listo para recoger","Recordar la recogida al cliente",IF(J165="Esperando pieza","Pedir fecha al proveedor y avisar al cliente",IF(J165="En taller","Revisar con el taller","Confirmar el pedido con el proveedor"))))))</f>
        <v/>
      </c>
      <c r="V165" s="29" t="str">
        <f aca="false">IF(M165="Dato pendiente",1000+ROW()/10000,IF(M165="Fuera de plazo",N165+ROW()/10000,""))</f>
        <v/>
      </c>
      <c r="W165" s="30" t="str">
        <f aca="false">IF(T165="","",ROW())</f>
        <v/>
      </c>
    </row>
    <row r="166" customFormat="false" ht="15" hidden="false" customHeight="false" outlineLevel="0" collapsed="false">
      <c r="A166" s="13"/>
      <c r="B166" s="13"/>
      <c r="C166" s="28"/>
      <c r="D166" s="13"/>
      <c r="E166" s="13"/>
      <c r="F166" s="28"/>
      <c r="G166" s="28"/>
      <c r="H166" s="21"/>
      <c r="I166" s="21"/>
      <c r="J166" s="13"/>
      <c r="K166" s="13" t="str">
        <f aca="false">IF(A166="","",IFERROR(INDEX(Clientes!$B$2:$B$200,MATCH(B166,Clientes!$A$2:$A$200,0)),"Cliente no registrado"))</f>
        <v/>
      </c>
      <c r="L166" s="13" t="str">
        <f aca="false">IF(A166="","",IF(OR(J166="Entregado",J166="Anulado"),"No","Sí"))</f>
        <v/>
      </c>
      <c r="M166" s="13" t="str">
        <f aca="false">IF(A166="","",IF(J166="Entregado","Entregado",IF(J166="Anulado","Anulado",IF(F166="","Dato pendiente",IF(F166&lt;Control!$C$4,"Fuera de plazo","En plazo")))))</f>
        <v/>
      </c>
      <c r="N166" s="13" t="str">
        <f aca="false">IF(M166="Fuera de plazo",Control!$C$4-F166,"")</f>
        <v/>
      </c>
      <c r="O166" s="13" t="str">
        <f aca="false">IF(M166="Fuera de plazo",IF(J166="Listo para recoger","Cliente (no recoge)","Tienda o proveedor"),"")</f>
        <v/>
      </c>
      <c r="P166" s="13" t="str">
        <f aca="false">IF(A166="","",COUNTIF(Incidencias!$B$2:$B$151,A166))</f>
        <v/>
      </c>
      <c r="Q166" s="13" t="str">
        <f aca="false">IF(A166="","",COUNTIFS(Incidencias!$B$2:$B$151,A166,Incidencias!$F$2:$F$151,"Abierta"))</f>
        <v/>
      </c>
      <c r="R166" s="21" t="str">
        <f aca="false">IF(L166="Sí",H166-I166,IF(A166="","",0))</f>
        <v/>
      </c>
      <c r="S166" s="13" t="str">
        <f aca="false">IF(AND(J166="Entregado",F166&lt;&gt;"",G166&lt;&gt;""),IF(G166&lt;=F166,"Sí","No"),"")</f>
        <v/>
      </c>
      <c r="T166" s="13" t="str">
        <f aca="false">IF(A166="","",IF(K166="Cliente no registrado","Cliente sin dar de alta",IF(F166="","Falta fecha prevista",IF(AND(J166="Entregado",G166=""),"Entregado sin fecha de entrega",IF(ISNA(MATCH(J166,Inicio!$Z$1:$Z$6,0)),"Estado no reconocido",IF(F166&lt;C166,"Prevista anterior al pedido",IF(AND(G166&lt;&gt;"",G166&lt;C166),"Entrega anterior al pedido","")))))))</f>
        <v/>
      </c>
      <c r="U166" s="13" t="str">
        <f aca="false">IF(L166&lt;&gt;"Sí","",IF(M166="Dato pendiente","Poner fecha prevista y avisar al cliente",IF(M166="En plazo","Seguimiento normal",IF(J166="Listo para recoger","Recordar la recogida al cliente",IF(J166="Esperando pieza","Pedir fecha al proveedor y avisar al cliente",IF(J166="En taller","Revisar con el taller","Confirmar el pedido con el proveedor"))))))</f>
        <v/>
      </c>
      <c r="V166" s="29" t="str">
        <f aca="false">IF(M166="Dato pendiente",1000+ROW()/10000,IF(M166="Fuera de plazo",N166+ROW()/10000,""))</f>
        <v/>
      </c>
      <c r="W166" s="30" t="str">
        <f aca="false">IF(T166="","",ROW())</f>
        <v/>
      </c>
    </row>
    <row r="167" customFormat="false" ht="15" hidden="false" customHeight="false" outlineLevel="0" collapsed="false">
      <c r="A167" s="13"/>
      <c r="B167" s="13"/>
      <c r="C167" s="28"/>
      <c r="D167" s="13"/>
      <c r="E167" s="13"/>
      <c r="F167" s="28"/>
      <c r="G167" s="28"/>
      <c r="H167" s="21"/>
      <c r="I167" s="21"/>
      <c r="J167" s="13"/>
      <c r="K167" s="13" t="str">
        <f aca="false">IF(A167="","",IFERROR(INDEX(Clientes!$B$2:$B$200,MATCH(B167,Clientes!$A$2:$A$200,0)),"Cliente no registrado"))</f>
        <v/>
      </c>
      <c r="L167" s="13" t="str">
        <f aca="false">IF(A167="","",IF(OR(J167="Entregado",J167="Anulado"),"No","Sí"))</f>
        <v/>
      </c>
      <c r="M167" s="13" t="str">
        <f aca="false">IF(A167="","",IF(J167="Entregado","Entregado",IF(J167="Anulado","Anulado",IF(F167="","Dato pendiente",IF(F167&lt;Control!$C$4,"Fuera de plazo","En plazo")))))</f>
        <v/>
      </c>
      <c r="N167" s="13" t="str">
        <f aca="false">IF(M167="Fuera de plazo",Control!$C$4-F167,"")</f>
        <v/>
      </c>
      <c r="O167" s="13" t="str">
        <f aca="false">IF(M167="Fuera de plazo",IF(J167="Listo para recoger","Cliente (no recoge)","Tienda o proveedor"),"")</f>
        <v/>
      </c>
      <c r="P167" s="13" t="str">
        <f aca="false">IF(A167="","",COUNTIF(Incidencias!$B$2:$B$151,A167))</f>
        <v/>
      </c>
      <c r="Q167" s="13" t="str">
        <f aca="false">IF(A167="","",COUNTIFS(Incidencias!$B$2:$B$151,A167,Incidencias!$F$2:$F$151,"Abierta"))</f>
        <v/>
      </c>
      <c r="R167" s="21" t="str">
        <f aca="false">IF(L167="Sí",H167-I167,IF(A167="","",0))</f>
        <v/>
      </c>
      <c r="S167" s="13" t="str">
        <f aca="false">IF(AND(J167="Entregado",F167&lt;&gt;"",G167&lt;&gt;""),IF(G167&lt;=F167,"Sí","No"),"")</f>
        <v/>
      </c>
      <c r="T167" s="13" t="str">
        <f aca="false">IF(A167="","",IF(K167="Cliente no registrado","Cliente sin dar de alta",IF(F167="","Falta fecha prevista",IF(AND(J167="Entregado",G167=""),"Entregado sin fecha de entrega",IF(ISNA(MATCH(J167,Inicio!$Z$1:$Z$6,0)),"Estado no reconocido",IF(F167&lt;C167,"Prevista anterior al pedido",IF(AND(G167&lt;&gt;"",G167&lt;C167),"Entrega anterior al pedido","")))))))</f>
        <v/>
      </c>
      <c r="U167" s="13" t="str">
        <f aca="false">IF(L167&lt;&gt;"Sí","",IF(M167="Dato pendiente","Poner fecha prevista y avisar al cliente",IF(M167="En plazo","Seguimiento normal",IF(J167="Listo para recoger","Recordar la recogida al cliente",IF(J167="Esperando pieza","Pedir fecha al proveedor y avisar al cliente",IF(J167="En taller","Revisar con el taller","Confirmar el pedido con el proveedor"))))))</f>
        <v/>
      </c>
      <c r="V167" s="29" t="str">
        <f aca="false">IF(M167="Dato pendiente",1000+ROW()/10000,IF(M167="Fuera de plazo",N167+ROW()/10000,""))</f>
        <v/>
      </c>
      <c r="W167" s="30" t="str">
        <f aca="false">IF(T167="","",ROW())</f>
        <v/>
      </c>
    </row>
    <row r="168" customFormat="false" ht="15" hidden="false" customHeight="false" outlineLevel="0" collapsed="false">
      <c r="A168" s="13"/>
      <c r="B168" s="13"/>
      <c r="C168" s="28"/>
      <c r="D168" s="13"/>
      <c r="E168" s="13"/>
      <c r="F168" s="28"/>
      <c r="G168" s="28"/>
      <c r="H168" s="21"/>
      <c r="I168" s="21"/>
      <c r="J168" s="13"/>
      <c r="K168" s="13" t="str">
        <f aca="false">IF(A168="","",IFERROR(INDEX(Clientes!$B$2:$B$200,MATCH(B168,Clientes!$A$2:$A$200,0)),"Cliente no registrado"))</f>
        <v/>
      </c>
      <c r="L168" s="13" t="str">
        <f aca="false">IF(A168="","",IF(OR(J168="Entregado",J168="Anulado"),"No","Sí"))</f>
        <v/>
      </c>
      <c r="M168" s="13" t="str">
        <f aca="false">IF(A168="","",IF(J168="Entregado","Entregado",IF(J168="Anulado","Anulado",IF(F168="","Dato pendiente",IF(F168&lt;Control!$C$4,"Fuera de plazo","En plazo")))))</f>
        <v/>
      </c>
      <c r="N168" s="13" t="str">
        <f aca="false">IF(M168="Fuera de plazo",Control!$C$4-F168,"")</f>
        <v/>
      </c>
      <c r="O168" s="13" t="str">
        <f aca="false">IF(M168="Fuera de plazo",IF(J168="Listo para recoger","Cliente (no recoge)","Tienda o proveedor"),"")</f>
        <v/>
      </c>
      <c r="P168" s="13" t="str">
        <f aca="false">IF(A168="","",COUNTIF(Incidencias!$B$2:$B$151,A168))</f>
        <v/>
      </c>
      <c r="Q168" s="13" t="str">
        <f aca="false">IF(A168="","",COUNTIFS(Incidencias!$B$2:$B$151,A168,Incidencias!$F$2:$F$151,"Abierta"))</f>
        <v/>
      </c>
      <c r="R168" s="21" t="str">
        <f aca="false">IF(L168="Sí",H168-I168,IF(A168="","",0))</f>
        <v/>
      </c>
      <c r="S168" s="13" t="str">
        <f aca="false">IF(AND(J168="Entregado",F168&lt;&gt;"",G168&lt;&gt;""),IF(G168&lt;=F168,"Sí","No"),"")</f>
        <v/>
      </c>
      <c r="T168" s="13" t="str">
        <f aca="false">IF(A168="","",IF(K168="Cliente no registrado","Cliente sin dar de alta",IF(F168="","Falta fecha prevista",IF(AND(J168="Entregado",G168=""),"Entregado sin fecha de entrega",IF(ISNA(MATCH(J168,Inicio!$Z$1:$Z$6,0)),"Estado no reconocido",IF(F168&lt;C168,"Prevista anterior al pedido",IF(AND(G168&lt;&gt;"",G168&lt;C168),"Entrega anterior al pedido","")))))))</f>
        <v/>
      </c>
      <c r="U168" s="13" t="str">
        <f aca="false">IF(L168&lt;&gt;"Sí","",IF(M168="Dato pendiente","Poner fecha prevista y avisar al cliente",IF(M168="En plazo","Seguimiento normal",IF(J168="Listo para recoger","Recordar la recogida al cliente",IF(J168="Esperando pieza","Pedir fecha al proveedor y avisar al cliente",IF(J168="En taller","Revisar con el taller","Confirmar el pedido con el proveedor"))))))</f>
        <v/>
      </c>
      <c r="V168" s="29" t="str">
        <f aca="false">IF(M168="Dato pendiente",1000+ROW()/10000,IF(M168="Fuera de plazo",N168+ROW()/10000,""))</f>
        <v/>
      </c>
      <c r="W168" s="30" t="str">
        <f aca="false">IF(T168="","",ROW())</f>
        <v/>
      </c>
    </row>
    <row r="169" customFormat="false" ht="15" hidden="false" customHeight="false" outlineLevel="0" collapsed="false">
      <c r="A169" s="13"/>
      <c r="B169" s="13"/>
      <c r="C169" s="28"/>
      <c r="D169" s="13"/>
      <c r="E169" s="13"/>
      <c r="F169" s="28"/>
      <c r="G169" s="28"/>
      <c r="H169" s="21"/>
      <c r="I169" s="21"/>
      <c r="J169" s="13"/>
      <c r="K169" s="13" t="str">
        <f aca="false">IF(A169="","",IFERROR(INDEX(Clientes!$B$2:$B$200,MATCH(B169,Clientes!$A$2:$A$200,0)),"Cliente no registrado"))</f>
        <v/>
      </c>
      <c r="L169" s="13" t="str">
        <f aca="false">IF(A169="","",IF(OR(J169="Entregado",J169="Anulado"),"No","Sí"))</f>
        <v/>
      </c>
      <c r="M169" s="13" t="str">
        <f aca="false">IF(A169="","",IF(J169="Entregado","Entregado",IF(J169="Anulado","Anulado",IF(F169="","Dato pendiente",IF(F169&lt;Control!$C$4,"Fuera de plazo","En plazo")))))</f>
        <v/>
      </c>
      <c r="N169" s="13" t="str">
        <f aca="false">IF(M169="Fuera de plazo",Control!$C$4-F169,"")</f>
        <v/>
      </c>
      <c r="O169" s="13" t="str">
        <f aca="false">IF(M169="Fuera de plazo",IF(J169="Listo para recoger","Cliente (no recoge)","Tienda o proveedor"),"")</f>
        <v/>
      </c>
      <c r="P169" s="13" t="str">
        <f aca="false">IF(A169="","",COUNTIF(Incidencias!$B$2:$B$151,A169))</f>
        <v/>
      </c>
      <c r="Q169" s="13" t="str">
        <f aca="false">IF(A169="","",COUNTIFS(Incidencias!$B$2:$B$151,A169,Incidencias!$F$2:$F$151,"Abierta"))</f>
        <v/>
      </c>
      <c r="R169" s="21" t="str">
        <f aca="false">IF(L169="Sí",H169-I169,IF(A169="","",0))</f>
        <v/>
      </c>
      <c r="S169" s="13" t="str">
        <f aca="false">IF(AND(J169="Entregado",F169&lt;&gt;"",G169&lt;&gt;""),IF(G169&lt;=F169,"Sí","No"),"")</f>
        <v/>
      </c>
      <c r="T169" s="13" t="str">
        <f aca="false">IF(A169="","",IF(K169="Cliente no registrado","Cliente sin dar de alta",IF(F169="","Falta fecha prevista",IF(AND(J169="Entregado",G169=""),"Entregado sin fecha de entrega",IF(ISNA(MATCH(J169,Inicio!$Z$1:$Z$6,0)),"Estado no reconocido",IF(F169&lt;C169,"Prevista anterior al pedido",IF(AND(G169&lt;&gt;"",G169&lt;C169),"Entrega anterior al pedido","")))))))</f>
        <v/>
      </c>
      <c r="U169" s="13" t="str">
        <f aca="false">IF(L169&lt;&gt;"Sí","",IF(M169="Dato pendiente","Poner fecha prevista y avisar al cliente",IF(M169="En plazo","Seguimiento normal",IF(J169="Listo para recoger","Recordar la recogida al cliente",IF(J169="Esperando pieza","Pedir fecha al proveedor y avisar al cliente",IF(J169="En taller","Revisar con el taller","Confirmar el pedido con el proveedor"))))))</f>
        <v/>
      </c>
      <c r="V169" s="29" t="str">
        <f aca="false">IF(M169="Dato pendiente",1000+ROW()/10000,IF(M169="Fuera de plazo",N169+ROW()/10000,""))</f>
        <v/>
      </c>
      <c r="W169" s="30" t="str">
        <f aca="false">IF(T169="","",ROW())</f>
        <v/>
      </c>
    </row>
    <row r="170" customFormat="false" ht="15" hidden="false" customHeight="false" outlineLevel="0" collapsed="false">
      <c r="A170" s="13"/>
      <c r="B170" s="13"/>
      <c r="C170" s="28"/>
      <c r="D170" s="13"/>
      <c r="E170" s="13"/>
      <c r="F170" s="28"/>
      <c r="G170" s="28"/>
      <c r="H170" s="21"/>
      <c r="I170" s="21"/>
      <c r="J170" s="13"/>
      <c r="K170" s="13" t="str">
        <f aca="false">IF(A170="","",IFERROR(INDEX(Clientes!$B$2:$B$200,MATCH(B170,Clientes!$A$2:$A$200,0)),"Cliente no registrado"))</f>
        <v/>
      </c>
      <c r="L170" s="13" t="str">
        <f aca="false">IF(A170="","",IF(OR(J170="Entregado",J170="Anulado"),"No","Sí"))</f>
        <v/>
      </c>
      <c r="M170" s="13" t="str">
        <f aca="false">IF(A170="","",IF(J170="Entregado","Entregado",IF(J170="Anulado","Anulado",IF(F170="","Dato pendiente",IF(F170&lt;Control!$C$4,"Fuera de plazo","En plazo")))))</f>
        <v/>
      </c>
      <c r="N170" s="13" t="str">
        <f aca="false">IF(M170="Fuera de plazo",Control!$C$4-F170,"")</f>
        <v/>
      </c>
      <c r="O170" s="13" t="str">
        <f aca="false">IF(M170="Fuera de plazo",IF(J170="Listo para recoger","Cliente (no recoge)","Tienda o proveedor"),"")</f>
        <v/>
      </c>
      <c r="P170" s="13" t="str">
        <f aca="false">IF(A170="","",COUNTIF(Incidencias!$B$2:$B$151,A170))</f>
        <v/>
      </c>
      <c r="Q170" s="13" t="str">
        <f aca="false">IF(A170="","",COUNTIFS(Incidencias!$B$2:$B$151,A170,Incidencias!$F$2:$F$151,"Abierta"))</f>
        <v/>
      </c>
      <c r="R170" s="21" t="str">
        <f aca="false">IF(L170="Sí",H170-I170,IF(A170="","",0))</f>
        <v/>
      </c>
      <c r="S170" s="13" t="str">
        <f aca="false">IF(AND(J170="Entregado",F170&lt;&gt;"",G170&lt;&gt;""),IF(G170&lt;=F170,"Sí","No"),"")</f>
        <v/>
      </c>
      <c r="T170" s="13" t="str">
        <f aca="false">IF(A170="","",IF(K170="Cliente no registrado","Cliente sin dar de alta",IF(F170="","Falta fecha prevista",IF(AND(J170="Entregado",G170=""),"Entregado sin fecha de entrega",IF(ISNA(MATCH(J170,Inicio!$Z$1:$Z$6,0)),"Estado no reconocido",IF(F170&lt;C170,"Prevista anterior al pedido",IF(AND(G170&lt;&gt;"",G170&lt;C170),"Entrega anterior al pedido","")))))))</f>
        <v/>
      </c>
      <c r="U170" s="13" t="str">
        <f aca="false">IF(L170&lt;&gt;"Sí","",IF(M170="Dato pendiente","Poner fecha prevista y avisar al cliente",IF(M170="En plazo","Seguimiento normal",IF(J170="Listo para recoger","Recordar la recogida al cliente",IF(J170="Esperando pieza","Pedir fecha al proveedor y avisar al cliente",IF(J170="En taller","Revisar con el taller","Confirmar el pedido con el proveedor"))))))</f>
        <v/>
      </c>
      <c r="V170" s="29" t="str">
        <f aca="false">IF(M170="Dato pendiente",1000+ROW()/10000,IF(M170="Fuera de plazo",N170+ROW()/10000,""))</f>
        <v/>
      </c>
      <c r="W170" s="30" t="str">
        <f aca="false">IF(T170="","",ROW())</f>
        <v/>
      </c>
    </row>
    <row r="171" customFormat="false" ht="15" hidden="false" customHeight="false" outlineLevel="0" collapsed="false">
      <c r="A171" s="13"/>
      <c r="B171" s="13"/>
      <c r="C171" s="28"/>
      <c r="D171" s="13"/>
      <c r="E171" s="13"/>
      <c r="F171" s="28"/>
      <c r="G171" s="28"/>
      <c r="H171" s="21"/>
      <c r="I171" s="21"/>
      <c r="J171" s="13"/>
      <c r="K171" s="13" t="str">
        <f aca="false">IF(A171="","",IFERROR(INDEX(Clientes!$B$2:$B$200,MATCH(B171,Clientes!$A$2:$A$200,0)),"Cliente no registrado"))</f>
        <v/>
      </c>
      <c r="L171" s="13" t="str">
        <f aca="false">IF(A171="","",IF(OR(J171="Entregado",J171="Anulado"),"No","Sí"))</f>
        <v/>
      </c>
      <c r="M171" s="13" t="str">
        <f aca="false">IF(A171="","",IF(J171="Entregado","Entregado",IF(J171="Anulado","Anulado",IF(F171="","Dato pendiente",IF(F171&lt;Control!$C$4,"Fuera de plazo","En plazo")))))</f>
        <v/>
      </c>
      <c r="N171" s="13" t="str">
        <f aca="false">IF(M171="Fuera de plazo",Control!$C$4-F171,"")</f>
        <v/>
      </c>
      <c r="O171" s="13" t="str">
        <f aca="false">IF(M171="Fuera de plazo",IF(J171="Listo para recoger","Cliente (no recoge)","Tienda o proveedor"),"")</f>
        <v/>
      </c>
      <c r="P171" s="13" t="str">
        <f aca="false">IF(A171="","",COUNTIF(Incidencias!$B$2:$B$151,A171))</f>
        <v/>
      </c>
      <c r="Q171" s="13" t="str">
        <f aca="false">IF(A171="","",COUNTIFS(Incidencias!$B$2:$B$151,A171,Incidencias!$F$2:$F$151,"Abierta"))</f>
        <v/>
      </c>
      <c r="R171" s="21" t="str">
        <f aca="false">IF(L171="Sí",H171-I171,IF(A171="","",0))</f>
        <v/>
      </c>
      <c r="S171" s="13" t="str">
        <f aca="false">IF(AND(J171="Entregado",F171&lt;&gt;"",G171&lt;&gt;""),IF(G171&lt;=F171,"Sí","No"),"")</f>
        <v/>
      </c>
      <c r="T171" s="13" t="str">
        <f aca="false">IF(A171="","",IF(K171="Cliente no registrado","Cliente sin dar de alta",IF(F171="","Falta fecha prevista",IF(AND(J171="Entregado",G171=""),"Entregado sin fecha de entrega",IF(ISNA(MATCH(J171,Inicio!$Z$1:$Z$6,0)),"Estado no reconocido",IF(F171&lt;C171,"Prevista anterior al pedido",IF(AND(G171&lt;&gt;"",G171&lt;C171),"Entrega anterior al pedido","")))))))</f>
        <v/>
      </c>
      <c r="U171" s="13" t="str">
        <f aca="false">IF(L171&lt;&gt;"Sí","",IF(M171="Dato pendiente","Poner fecha prevista y avisar al cliente",IF(M171="En plazo","Seguimiento normal",IF(J171="Listo para recoger","Recordar la recogida al cliente",IF(J171="Esperando pieza","Pedir fecha al proveedor y avisar al cliente",IF(J171="En taller","Revisar con el taller","Confirmar el pedido con el proveedor"))))))</f>
        <v/>
      </c>
      <c r="V171" s="29" t="str">
        <f aca="false">IF(M171="Dato pendiente",1000+ROW()/10000,IF(M171="Fuera de plazo",N171+ROW()/10000,""))</f>
        <v/>
      </c>
      <c r="W171" s="30" t="str">
        <f aca="false">IF(T171="","",ROW())</f>
        <v/>
      </c>
    </row>
    <row r="172" customFormat="false" ht="15" hidden="false" customHeight="false" outlineLevel="0" collapsed="false">
      <c r="A172" s="13"/>
      <c r="B172" s="13"/>
      <c r="C172" s="28"/>
      <c r="D172" s="13"/>
      <c r="E172" s="13"/>
      <c r="F172" s="28"/>
      <c r="G172" s="28"/>
      <c r="H172" s="21"/>
      <c r="I172" s="21"/>
      <c r="J172" s="13"/>
      <c r="K172" s="13" t="str">
        <f aca="false">IF(A172="","",IFERROR(INDEX(Clientes!$B$2:$B$200,MATCH(B172,Clientes!$A$2:$A$200,0)),"Cliente no registrado"))</f>
        <v/>
      </c>
      <c r="L172" s="13" t="str">
        <f aca="false">IF(A172="","",IF(OR(J172="Entregado",J172="Anulado"),"No","Sí"))</f>
        <v/>
      </c>
      <c r="M172" s="13" t="str">
        <f aca="false">IF(A172="","",IF(J172="Entregado","Entregado",IF(J172="Anulado","Anulado",IF(F172="","Dato pendiente",IF(F172&lt;Control!$C$4,"Fuera de plazo","En plazo")))))</f>
        <v/>
      </c>
      <c r="N172" s="13" t="str">
        <f aca="false">IF(M172="Fuera de plazo",Control!$C$4-F172,"")</f>
        <v/>
      </c>
      <c r="O172" s="13" t="str">
        <f aca="false">IF(M172="Fuera de plazo",IF(J172="Listo para recoger","Cliente (no recoge)","Tienda o proveedor"),"")</f>
        <v/>
      </c>
      <c r="P172" s="13" t="str">
        <f aca="false">IF(A172="","",COUNTIF(Incidencias!$B$2:$B$151,A172))</f>
        <v/>
      </c>
      <c r="Q172" s="13" t="str">
        <f aca="false">IF(A172="","",COUNTIFS(Incidencias!$B$2:$B$151,A172,Incidencias!$F$2:$F$151,"Abierta"))</f>
        <v/>
      </c>
      <c r="R172" s="21" t="str">
        <f aca="false">IF(L172="Sí",H172-I172,IF(A172="","",0))</f>
        <v/>
      </c>
      <c r="S172" s="13" t="str">
        <f aca="false">IF(AND(J172="Entregado",F172&lt;&gt;"",G172&lt;&gt;""),IF(G172&lt;=F172,"Sí","No"),"")</f>
        <v/>
      </c>
      <c r="T172" s="13" t="str">
        <f aca="false">IF(A172="","",IF(K172="Cliente no registrado","Cliente sin dar de alta",IF(F172="","Falta fecha prevista",IF(AND(J172="Entregado",G172=""),"Entregado sin fecha de entrega",IF(ISNA(MATCH(J172,Inicio!$Z$1:$Z$6,0)),"Estado no reconocido",IF(F172&lt;C172,"Prevista anterior al pedido",IF(AND(G172&lt;&gt;"",G172&lt;C172),"Entrega anterior al pedido","")))))))</f>
        <v/>
      </c>
      <c r="U172" s="13" t="str">
        <f aca="false">IF(L172&lt;&gt;"Sí","",IF(M172="Dato pendiente","Poner fecha prevista y avisar al cliente",IF(M172="En plazo","Seguimiento normal",IF(J172="Listo para recoger","Recordar la recogida al cliente",IF(J172="Esperando pieza","Pedir fecha al proveedor y avisar al cliente",IF(J172="En taller","Revisar con el taller","Confirmar el pedido con el proveedor"))))))</f>
        <v/>
      </c>
      <c r="V172" s="29" t="str">
        <f aca="false">IF(M172="Dato pendiente",1000+ROW()/10000,IF(M172="Fuera de plazo",N172+ROW()/10000,""))</f>
        <v/>
      </c>
      <c r="W172" s="30" t="str">
        <f aca="false">IF(T172="","",ROW())</f>
        <v/>
      </c>
    </row>
    <row r="173" customFormat="false" ht="15" hidden="false" customHeight="false" outlineLevel="0" collapsed="false">
      <c r="A173" s="13"/>
      <c r="B173" s="13"/>
      <c r="C173" s="28"/>
      <c r="D173" s="13"/>
      <c r="E173" s="13"/>
      <c r="F173" s="28"/>
      <c r="G173" s="28"/>
      <c r="H173" s="21"/>
      <c r="I173" s="21"/>
      <c r="J173" s="13"/>
      <c r="K173" s="13" t="str">
        <f aca="false">IF(A173="","",IFERROR(INDEX(Clientes!$B$2:$B$200,MATCH(B173,Clientes!$A$2:$A$200,0)),"Cliente no registrado"))</f>
        <v/>
      </c>
      <c r="L173" s="13" t="str">
        <f aca="false">IF(A173="","",IF(OR(J173="Entregado",J173="Anulado"),"No","Sí"))</f>
        <v/>
      </c>
      <c r="M173" s="13" t="str">
        <f aca="false">IF(A173="","",IF(J173="Entregado","Entregado",IF(J173="Anulado","Anulado",IF(F173="","Dato pendiente",IF(F173&lt;Control!$C$4,"Fuera de plazo","En plazo")))))</f>
        <v/>
      </c>
      <c r="N173" s="13" t="str">
        <f aca="false">IF(M173="Fuera de plazo",Control!$C$4-F173,"")</f>
        <v/>
      </c>
      <c r="O173" s="13" t="str">
        <f aca="false">IF(M173="Fuera de plazo",IF(J173="Listo para recoger","Cliente (no recoge)","Tienda o proveedor"),"")</f>
        <v/>
      </c>
      <c r="P173" s="13" t="str">
        <f aca="false">IF(A173="","",COUNTIF(Incidencias!$B$2:$B$151,A173))</f>
        <v/>
      </c>
      <c r="Q173" s="13" t="str">
        <f aca="false">IF(A173="","",COUNTIFS(Incidencias!$B$2:$B$151,A173,Incidencias!$F$2:$F$151,"Abierta"))</f>
        <v/>
      </c>
      <c r="R173" s="21" t="str">
        <f aca="false">IF(L173="Sí",H173-I173,IF(A173="","",0))</f>
        <v/>
      </c>
      <c r="S173" s="13" t="str">
        <f aca="false">IF(AND(J173="Entregado",F173&lt;&gt;"",G173&lt;&gt;""),IF(G173&lt;=F173,"Sí","No"),"")</f>
        <v/>
      </c>
      <c r="T173" s="13" t="str">
        <f aca="false">IF(A173="","",IF(K173="Cliente no registrado","Cliente sin dar de alta",IF(F173="","Falta fecha prevista",IF(AND(J173="Entregado",G173=""),"Entregado sin fecha de entrega",IF(ISNA(MATCH(J173,Inicio!$Z$1:$Z$6,0)),"Estado no reconocido",IF(F173&lt;C173,"Prevista anterior al pedido",IF(AND(G173&lt;&gt;"",G173&lt;C173),"Entrega anterior al pedido","")))))))</f>
        <v/>
      </c>
      <c r="U173" s="13" t="str">
        <f aca="false">IF(L173&lt;&gt;"Sí","",IF(M173="Dato pendiente","Poner fecha prevista y avisar al cliente",IF(M173="En plazo","Seguimiento normal",IF(J173="Listo para recoger","Recordar la recogida al cliente",IF(J173="Esperando pieza","Pedir fecha al proveedor y avisar al cliente",IF(J173="En taller","Revisar con el taller","Confirmar el pedido con el proveedor"))))))</f>
        <v/>
      </c>
      <c r="V173" s="29" t="str">
        <f aca="false">IF(M173="Dato pendiente",1000+ROW()/10000,IF(M173="Fuera de plazo",N173+ROW()/10000,""))</f>
        <v/>
      </c>
      <c r="W173" s="30" t="str">
        <f aca="false">IF(T173="","",ROW())</f>
        <v/>
      </c>
    </row>
    <row r="174" customFormat="false" ht="15" hidden="false" customHeight="false" outlineLevel="0" collapsed="false">
      <c r="A174" s="13"/>
      <c r="B174" s="13"/>
      <c r="C174" s="28"/>
      <c r="D174" s="13"/>
      <c r="E174" s="13"/>
      <c r="F174" s="28"/>
      <c r="G174" s="28"/>
      <c r="H174" s="21"/>
      <c r="I174" s="21"/>
      <c r="J174" s="13"/>
      <c r="K174" s="13" t="str">
        <f aca="false">IF(A174="","",IFERROR(INDEX(Clientes!$B$2:$B$200,MATCH(B174,Clientes!$A$2:$A$200,0)),"Cliente no registrado"))</f>
        <v/>
      </c>
      <c r="L174" s="13" t="str">
        <f aca="false">IF(A174="","",IF(OR(J174="Entregado",J174="Anulado"),"No","Sí"))</f>
        <v/>
      </c>
      <c r="M174" s="13" t="str">
        <f aca="false">IF(A174="","",IF(J174="Entregado","Entregado",IF(J174="Anulado","Anulado",IF(F174="","Dato pendiente",IF(F174&lt;Control!$C$4,"Fuera de plazo","En plazo")))))</f>
        <v/>
      </c>
      <c r="N174" s="13" t="str">
        <f aca="false">IF(M174="Fuera de plazo",Control!$C$4-F174,"")</f>
        <v/>
      </c>
      <c r="O174" s="13" t="str">
        <f aca="false">IF(M174="Fuera de plazo",IF(J174="Listo para recoger","Cliente (no recoge)","Tienda o proveedor"),"")</f>
        <v/>
      </c>
      <c r="P174" s="13" t="str">
        <f aca="false">IF(A174="","",COUNTIF(Incidencias!$B$2:$B$151,A174))</f>
        <v/>
      </c>
      <c r="Q174" s="13" t="str">
        <f aca="false">IF(A174="","",COUNTIFS(Incidencias!$B$2:$B$151,A174,Incidencias!$F$2:$F$151,"Abierta"))</f>
        <v/>
      </c>
      <c r="R174" s="21" t="str">
        <f aca="false">IF(L174="Sí",H174-I174,IF(A174="","",0))</f>
        <v/>
      </c>
      <c r="S174" s="13" t="str">
        <f aca="false">IF(AND(J174="Entregado",F174&lt;&gt;"",G174&lt;&gt;""),IF(G174&lt;=F174,"Sí","No"),"")</f>
        <v/>
      </c>
      <c r="T174" s="13" t="str">
        <f aca="false">IF(A174="","",IF(K174="Cliente no registrado","Cliente sin dar de alta",IF(F174="","Falta fecha prevista",IF(AND(J174="Entregado",G174=""),"Entregado sin fecha de entrega",IF(ISNA(MATCH(J174,Inicio!$Z$1:$Z$6,0)),"Estado no reconocido",IF(F174&lt;C174,"Prevista anterior al pedido",IF(AND(G174&lt;&gt;"",G174&lt;C174),"Entrega anterior al pedido","")))))))</f>
        <v/>
      </c>
      <c r="U174" s="13" t="str">
        <f aca="false">IF(L174&lt;&gt;"Sí","",IF(M174="Dato pendiente","Poner fecha prevista y avisar al cliente",IF(M174="En plazo","Seguimiento normal",IF(J174="Listo para recoger","Recordar la recogida al cliente",IF(J174="Esperando pieza","Pedir fecha al proveedor y avisar al cliente",IF(J174="En taller","Revisar con el taller","Confirmar el pedido con el proveedor"))))))</f>
        <v/>
      </c>
      <c r="V174" s="29" t="str">
        <f aca="false">IF(M174="Dato pendiente",1000+ROW()/10000,IF(M174="Fuera de plazo",N174+ROW()/10000,""))</f>
        <v/>
      </c>
      <c r="W174" s="30" t="str">
        <f aca="false">IF(T174="","",ROW())</f>
        <v/>
      </c>
    </row>
    <row r="175" customFormat="false" ht="15" hidden="false" customHeight="false" outlineLevel="0" collapsed="false">
      <c r="A175" s="13"/>
      <c r="B175" s="13"/>
      <c r="C175" s="28"/>
      <c r="D175" s="13"/>
      <c r="E175" s="13"/>
      <c r="F175" s="28"/>
      <c r="G175" s="28"/>
      <c r="H175" s="21"/>
      <c r="I175" s="21"/>
      <c r="J175" s="13"/>
      <c r="K175" s="13" t="str">
        <f aca="false">IF(A175="","",IFERROR(INDEX(Clientes!$B$2:$B$200,MATCH(B175,Clientes!$A$2:$A$200,0)),"Cliente no registrado"))</f>
        <v/>
      </c>
      <c r="L175" s="13" t="str">
        <f aca="false">IF(A175="","",IF(OR(J175="Entregado",J175="Anulado"),"No","Sí"))</f>
        <v/>
      </c>
      <c r="M175" s="13" t="str">
        <f aca="false">IF(A175="","",IF(J175="Entregado","Entregado",IF(J175="Anulado","Anulado",IF(F175="","Dato pendiente",IF(F175&lt;Control!$C$4,"Fuera de plazo","En plazo")))))</f>
        <v/>
      </c>
      <c r="N175" s="13" t="str">
        <f aca="false">IF(M175="Fuera de plazo",Control!$C$4-F175,"")</f>
        <v/>
      </c>
      <c r="O175" s="13" t="str">
        <f aca="false">IF(M175="Fuera de plazo",IF(J175="Listo para recoger","Cliente (no recoge)","Tienda o proveedor"),"")</f>
        <v/>
      </c>
      <c r="P175" s="13" t="str">
        <f aca="false">IF(A175="","",COUNTIF(Incidencias!$B$2:$B$151,A175))</f>
        <v/>
      </c>
      <c r="Q175" s="13" t="str">
        <f aca="false">IF(A175="","",COUNTIFS(Incidencias!$B$2:$B$151,A175,Incidencias!$F$2:$F$151,"Abierta"))</f>
        <v/>
      </c>
      <c r="R175" s="21" t="str">
        <f aca="false">IF(L175="Sí",H175-I175,IF(A175="","",0))</f>
        <v/>
      </c>
      <c r="S175" s="13" t="str">
        <f aca="false">IF(AND(J175="Entregado",F175&lt;&gt;"",G175&lt;&gt;""),IF(G175&lt;=F175,"Sí","No"),"")</f>
        <v/>
      </c>
      <c r="T175" s="13" t="str">
        <f aca="false">IF(A175="","",IF(K175="Cliente no registrado","Cliente sin dar de alta",IF(F175="","Falta fecha prevista",IF(AND(J175="Entregado",G175=""),"Entregado sin fecha de entrega",IF(ISNA(MATCH(J175,Inicio!$Z$1:$Z$6,0)),"Estado no reconocido",IF(F175&lt;C175,"Prevista anterior al pedido",IF(AND(G175&lt;&gt;"",G175&lt;C175),"Entrega anterior al pedido","")))))))</f>
        <v/>
      </c>
      <c r="U175" s="13" t="str">
        <f aca="false">IF(L175&lt;&gt;"Sí","",IF(M175="Dato pendiente","Poner fecha prevista y avisar al cliente",IF(M175="En plazo","Seguimiento normal",IF(J175="Listo para recoger","Recordar la recogida al cliente",IF(J175="Esperando pieza","Pedir fecha al proveedor y avisar al cliente",IF(J175="En taller","Revisar con el taller","Confirmar el pedido con el proveedor"))))))</f>
        <v/>
      </c>
      <c r="V175" s="29" t="str">
        <f aca="false">IF(M175="Dato pendiente",1000+ROW()/10000,IF(M175="Fuera de plazo",N175+ROW()/10000,""))</f>
        <v/>
      </c>
      <c r="W175" s="30" t="str">
        <f aca="false">IF(T175="","",ROW())</f>
        <v/>
      </c>
    </row>
    <row r="176" customFormat="false" ht="15" hidden="false" customHeight="false" outlineLevel="0" collapsed="false">
      <c r="A176" s="13"/>
      <c r="B176" s="13"/>
      <c r="C176" s="28"/>
      <c r="D176" s="13"/>
      <c r="E176" s="13"/>
      <c r="F176" s="28"/>
      <c r="G176" s="28"/>
      <c r="H176" s="21"/>
      <c r="I176" s="21"/>
      <c r="J176" s="13"/>
      <c r="K176" s="13" t="str">
        <f aca="false">IF(A176="","",IFERROR(INDEX(Clientes!$B$2:$B$200,MATCH(B176,Clientes!$A$2:$A$200,0)),"Cliente no registrado"))</f>
        <v/>
      </c>
      <c r="L176" s="13" t="str">
        <f aca="false">IF(A176="","",IF(OR(J176="Entregado",J176="Anulado"),"No","Sí"))</f>
        <v/>
      </c>
      <c r="M176" s="13" t="str">
        <f aca="false">IF(A176="","",IF(J176="Entregado","Entregado",IF(J176="Anulado","Anulado",IF(F176="","Dato pendiente",IF(F176&lt;Control!$C$4,"Fuera de plazo","En plazo")))))</f>
        <v/>
      </c>
      <c r="N176" s="13" t="str">
        <f aca="false">IF(M176="Fuera de plazo",Control!$C$4-F176,"")</f>
        <v/>
      </c>
      <c r="O176" s="13" t="str">
        <f aca="false">IF(M176="Fuera de plazo",IF(J176="Listo para recoger","Cliente (no recoge)","Tienda o proveedor"),"")</f>
        <v/>
      </c>
      <c r="P176" s="13" t="str">
        <f aca="false">IF(A176="","",COUNTIF(Incidencias!$B$2:$B$151,A176))</f>
        <v/>
      </c>
      <c r="Q176" s="13" t="str">
        <f aca="false">IF(A176="","",COUNTIFS(Incidencias!$B$2:$B$151,A176,Incidencias!$F$2:$F$151,"Abierta"))</f>
        <v/>
      </c>
      <c r="R176" s="21" t="str">
        <f aca="false">IF(L176="Sí",H176-I176,IF(A176="","",0))</f>
        <v/>
      </c>
      <c r="S176" s="13" t="str">
        <f aca="false">IF(AND(J176="Entregado",F176&lt;&gt;"",G176&lt;&gt;""),IF(G176&lt;=F176,"Sí","No"),"")</f>
        <v/>
      </c>
      <c r="T176" s="13" t="str">
        <f aca="false">IF(A176="","",IF(K176="Cliente no registrado","Cliente sin dar de alta",IF(F176="","Falta fecha prevista",IF(AND(J176="Entregado",G176=""),"Entregado sin fecha de entrega",IF(ISNA(MATCH(J176,Inicio!$Z$1:$Z$6,0)),"Estado no reconocido",IF(F176&lt;C176,"Prevista anterior al pedido",IF(AND(G176&lt;&gt;"",G176&lt;C176),"Entrega anterior al pedido","")))))))</f>
        <v/>
      </c>
      <c r="U176" s="13" t="str">
        <f aca="false">IF(L176&lt;&gt;"Sí","",IF(M176="Dato pendiente","Poner fecha prevista y avisar al cliente",IF(M176="En plazo","Seguimiento normal",IF(J176="Listo para recoger","Recordar la recogida al cliente",IF(J176="Esperando pieza","Pedir fecha al proveedor y avisar al cliente",IF(J176="En taller","Revisar con el taller","Confirmar el pedido con el proveedor"))))))</f>
        <v/>
      </c>
      <c r="V176" s="29" t="str">
        <f aca="false">IF(M176="Dato pendiente",1000+ROW()/10000,IF(M176="Fuera de plazo",N176+ROW()/10000,""))</f>
        <v/>
      </c>
      <c r="W176" s="30" t="str">
        <f aca="false">IF(T176="","",ROW())</f>
        <v/>
      </c>
    </row>
    <row r="177" customFormat="false" ht="15" hidden="false" customHeight="false" outlineLevel="0" collapsed="false">
      <c r="A177" s="13"/>
      <c r="B177" s="13"/>
      <c r="C177" s="28"/>
      <c r="D177" s="13"/>
      <c r="E177" s="13"/>
      <c r="F177" s="28"/>
      <c r="G177" s="28"/>
      <c r="H177" s="21"/>
      <c r="I177" s="21"/>
      <c r="J177" s="13"/>
      <c r="K177" s="13" t="str">
        <f aca="false">IF(A177="","",IFERROR(INDEX(Clientes!$B$2:$B$200,MATCH(B177,Clientes!$A$2:$A$200,0)),"Cliente no registrado"))</f>
        <v/>
      </c>
      <c r="L177" s="13" t="str">
        <f aca="false">IF(A177="","",IF(OR(J177="Entregado",J177="Anulado"),"No","Sí"))</f>
        <v/>
      </c>
      <c r="M177" s="13" t="str">
        <f aca="false">IF(A177="","",IF(J177="Entregado","Entregado",IF(J177="Anulado","Anulado",IF(F177="","Dato pendiente",IF(F177&lt;Control!$C$4,"Fuera de plazo","En plazo")))))</f>
        <v/>
      </c>
      <c r="N177" s="13" t="str">
        <f aca="false">IF(M177="Fuera de plazo",Control!$C$4-F177,"")</f>
        <v/>
      </c>
      <c r="O177" s="13" t="str">
        <f aca="false">IF(M177="Fuera de plazo",IF(J177="Listo para recoger","Cliente (no recoge)","Tienda o proveedor"),"")</f>
        <v/>
      </c>
      <c r="P177" s="13" t="str">
        <f aca="false">IF(A177="","",COUNTIF(Incidencias!$B$2:$B$151,A177))</f>
        <v/>
      </c>
      <c r="Q177" s="13" t="str">
        <f aca="false">IF(A177="","",COUNTIFS(Incidencias!$B$2:$B$151,A177,Incidencias!$F$2:$F$151,"Abierta"))</f>
        <v/>
      </c>
      <c r="R177" s="21" t="str">
        <f aca="false">IF(L177="Sí",H177-I177,IF(A177="","",0))</f>
        <v/>
      </c>
      <c r="S177" s="13" t="str">
        <f aca="false">IF(AND(J177="Entregado",F177&lt;&gt;"",G177&lt;&gt;""),IF(G177&lt;=F177,"Sí","No"),"")</f>
        <v/>
      </c>
      <c r="T177" s="13" t="str">
        <f aca="false">IF(A177="","",IF(K177="Cliente no registrado","Cliente sin dar de alta",IF(F177="","Falta fecha prevista",IF(AND(J177="Entregado",G177=""),"Entregado sin fecha de entrega",IF(ISNA(MATCH(J177,Inicio!$Z$1:$Z$6,0)),"Estado no reconocido",IF(F177&lt;C177,"Prevista anterior al pedido",IF(AND(G177&lt;&gt;"",G177&lt;C177),"Entrega anterior al pedido","")))))))</f>
        <v/>
      </c>
      <c r="U177" s="13" t="str">
        <f aca="false">IF(L177&lt;&gt;"Sí","",IF(M177="Dato pendiente","Poner fecha prevista y avisar al cliente",IF(M177="En plazo","Seguimiento normal",IF(J177="Listo para recoger","Recordar la recogida al cliente",IF(J177="Esperando pieza","Pedir fecha al proveedor y avisar al cliente",IF(J177="En taller","Revisar con el taller","Confirmar el pedido con el proveedor"))))))</f>
        <v/>
      </c>
      <c r="V177" s="29" t="str">
        <f aca="false">IF(M177="Dato pendiente",1000+ROW()/10000,IF(M177="Fuera de plazo",N177+ROW()/10000,""))</f>
        <v/>
      </c>
      <c r="W177" s="30" t="str">
        <f aca="false">IF(T177="","",ROW())</f>
        <v/>
      </c>
    </row>
    <row r="178" customFormat="false" ht="15" hidden="false" customHeight="false" outlineLevel="0" collapsed="false">
      <c r="A178" s="13"/>
      <c r="B178" s="13"/>
      <c r="C178" s="28"/>
      <c r="D178" s="13"/>
      <c r="E178" s="13"/>
      <c r="F178" s="28"/>
      <c r="G178" s="28"/>
      <c r="H178" s="21"/>
      <c r="I178" s="21"/>
      <c r="J178" s="13"/>
      <c r="K178" s="13" t="str">
        <f aca="false">IF(A178="","",IFERROR(INDEX(Clientes!$B$2:$B$200,MATCH(B178,Clientes!$A$2:$A$200,0)),"Cliente no registrado"))</f>
        <v/>
      </c>
      <c r="L178" s="13" t="str">
        <f aca="false">IF(A178="","",IF(OR(J178="Entregado",J178="Anulado"),"No","Sí"))</f>
        <v/>
      </c>
      <c r="M178" s="13" t="str">
        <f aca="false">IF(A178="","",IF(J178="Entregado","Entregado",IF(J178="Anulado","Anulado",IF(F178="","Dato pendiente",IF(F178&lt;Control!$C$4,"Fuera de plazo","En plazo")))))</f>
        <v/>
      </c>
      <c r="N178" s="13" t="str">
        <f aca="false">IF(M178="Fuera de plazo",Control!$C$4-F178,"")</f>
        <v/>
      </c>
      <c r="O178" s="13" t="str">
        <f aca="false">IF(M178="Fuera de plazo",IF(J178="Listo para recoger","Cliente (no recoge)","Tienda o proveedor"),"")</f>
        <v/>
      </c>
      <c r="P178" s="13" t="str">
        <f aca="false">IF(A178="","",COUNTIF(Incidencias!$B$2:$B$151,A178))</f>
        <v/>
      </c>
      <c r="Q178" s="13" t="str">
        <f aca="false">IF(A178="","",COUNTIFS(Incidencias!$B$2:$B$151,A178,Incidencias!$F$2:$F$151,"Abierta"))</f>
        <v/>
      </c>
      <c r="R178" s="21" t="str">
        <f aca="false">IF(L178="Sí",H178-I178,IF(A178="","",0))</f>
        <v/>
      </c>
      <c r="S178" s="13" t="str">
        <f aca="false">IF(AND(J178="Entregado",F178&lt;&gt;"",G178&lt;&gt;""),IF(G178&lt;=F178,"Sí","No"),"")</f>
        <v/>
      </c>
      <c r="T178" s="13" t="str">
        <f aca="false">IF(A178="","",IF(K178="Cliente no registrado","Cliente sin dar de alta",IF(F178="","Falta fecha prevista",IF(AND(J178="Entregado",G178=""),"Entregado sin fecha de entrega",IF(ISNA(MATCH(J178,Inicio!$Z$1:$Z$6,0)),"Estado no reconocido",IF(F178&lt;C178,"Prevista anterior al pedido",IF(AND(G178&lt;&gt;"",G178&lt;C178),"Entrega anterior al pedido","")))))))</f>
        <v/>
      </c>
      <c r="U178" s="13" t="str">
        <f aca="false">IF(L178&lt;&gt;"Sí","",IF(M178="Dato pendiente","Poner fecha prevista y avisar al cliente",IF(M178="En plazo","Seguimiento normal",IF(J178="Listo para recoger","Recordar la recogida al cliente",IF(J178="Esperando pieza","Pedir fecha al proveedor y avisar al cliente",IF(J178="En taller","Revisar con el taller","Confirmar el pedido con el proveedor"))))))</f>
        <v/>
      </c>
      <c r="V178" s="29" t="str">
        <f aca="false">IF(M178="Dato pendiente",1000+ROW()/10000,IF(M178="Fuera de plazo",N178+ROW()/10000,""))</f>
        <v/>
      </c>
      <c r="W178" s="30" t="str">
        <f aca="false">IF(T178="","",ROW())</f>
        <v/>
      </c>
    </row>
    <row r="179" customFormat="false" ht="15" hidden="false" customHeight="false" outlineLevel="0" collapsed="false">
      <c r="A179" s="13"/>
      <c r="B179" s="13"/>
      <c r="C179" s="28"/>
      <c r="D179" s="13"/>
      <c r="E179" s="13"/>
      <c r="F179" s="28"/>
      <c r="G179" s="28"/>
      <c r="H179" s="21"/>
      <c r="I179" s="21"/>
      <c r="J179" s="13"/>
      <c r="K179" s="13" t="str">
        <f aca="false">IF(A179="","",IFERROR(INDEX(Clientes!$B$2:$B$200,MATCH(B179,Clientes!$A$2:$A$200,0)),"Cliente no registrado"))</f>
        <v/>
      </c>
      <c r="L179" s="13" t="str">
        <f aca="false">IF(A179="","",IF(OR(J179="Entregado",J179="Anulado"),"No","Sí"))</f>
        <v/>
      </c>
      <c r="M179" s="13" t="str">
        <f aca="false">IF(A179="","",IF(J179="Entregado","Entregado",IF(J179="Anulado","Anulado",IF(F179="","Dato pendiente",IF(F179&lt;Control!$C$4,"Fuera de plazo","En plazo")))))</f>
        <v/>
      </c>
      <c r="N179" s="13" t="str">
        <f aca="false">IF(M179="Fuera de plazo",Control!$C$4-F179,"")</f>
        <v/>
      </c>
      <c r="O179" s="13" t="str">
        <f aca="false">IF(M179="Fuera de plazo",IF(J179="Listo para recoger","Cliente (no recoge)","Tienda o proveedor"),"")</f>
        <v/>
      </c>
      <c r="P179" s="13" t="str">
        <f aca="false">IF(A179="","",COUNTIF(Incidencias!$B$2:$B$151,A179))</f>
        <v/>
      </c>
      <c r="Q179" s="13" t="str">
        <f aca="false">IF(A179="","",COUNTIFS(Incidencias!$B$2:$B$151,A179,Incidencias!$F$2:$F$151,"Abierta"))</f>
        <v/>
      </c>
      <c r="R179" s="21" t="str">
        <f aca="false">IF(L179="Sí",H179-I179,IF(A179="","",0))</f>
        <v/>
      </c>
      <c r="S179" s="13" t="str">
        <f aca="false">IF(AND(J179="Entregado",F179&lt;&gt;"",G179&lt;&gt;""),IF(G179&lt;=F179,"Sí","No"),"")</f>
        <v/>
      </c>
      <c r="T179" s="13" t="str">
        <f aca="false">IF(A179="","",IF(K179="Cliente no registrado","Cliente sin dar de alta",IF(F179="","Falta fecha prevista",IF(AND(J179="Entregado",G179=""),"Entregado sin fecha de entrega",IF(ISNA(MATCH(J179,Inicio!$Z$1:$Z$6,0)),"Estado no reconocido",IF(F179&lt;C179,"Prevista anterior al pedido",IF(AND(G179&lt;&gt;"",G179&lt;C179),"Entrega anterior al pedido","")))))))</f>
        <v/>
      </c>
      <c r="U179" s="13" t="str">
        <f aca="false">IF(L179&lt;&gt;"Sí","",IF(M179="Dato pendiente","Poner fecha prevista y avisar al cliente",IF(M179="En plazo","Seguimiento normal",IF(J179="Listo para recoger","Recordar la recogida al cliente",IF(J179="Esperando pieza","Pedir fecha al proveedor y avisar al cliente",IF(J179="En taller","Revisar con el taller","Confirmar el pedido con el proveedor"))))))</f>
        <v/>
      </c>
      <c r="V179" s="29" t="str">
        <f aca="false">IF(M179="Dato pendiente",1000+ROW()/10000,IF(M179="Fuera de plazo",N179+ROW()/10000,""))</f>
        <v/>
      </c>
      <c r="W179" s="30" t="str">
        <f aca="false">IF(T179="","",ROW())</f>
        <v/>
      </c>
    </row>
    <row r="180" customFormat="false" ht="15" hidden="false" customHeight="false" outlineLevel="0" collapsed="false">
      <c r="A180" s="13"/>
      <c r="B180" s="13"/>
      <c r="C180" s="28"/>
      <c r="D180" s="13"/>
      <c r="E180" s="13"/>
      <c r="F180" s="28"/>
      <c r="G180" s="28"/>
      <c r="H180" s="21"/>
      <c r="I180" s="21"/>
      <c r="J180" s="13"/>
      <c r="K180" s="13" t="str">
        <f aca="false">IF(A180="","",IFERROR(INDEX(Clientes!$B$2:$B$200,MATCH(B180,Clientes!$A$2:$A$200,0)),"Cliente no registrado"))</f>
        <v/>
      </c>
      <c r="L180" s="13" t="str">
        <f aca="false">IF(A180="","",IF(OR(J180="Entregado",J180="Anulado"),"No","Sí"))</f>
        <v/>
      </c>
      <c r="M180" s="13" t="str">
        <f aca="false">IF(A180="","",IF(J180="Entregado","Entregado",IF(J180="Anulado","Anulado",IF(F180="","Dato pendiente",IF(F180&lt;Control!$C$4,"Fuera de plazo","En plazo")))))</f>
        <v/>
      </c>
      <c r="N180" s="13" t="str">
        <f aca="false">IF(M180="Fuera de plazo",Control!$C$4-F180,"")</f>
        <v/>
      </c>
      <c r="O180" s="13" t="str">
        <f aca="false">IF(M180="Fuera de plazo",IF(J180="Listo para recoger","Cliente (no recoge)","Tienda o proveedor"),"")</f>
        <v/>
      </c>
      <c r="P180" s="13" t="str">
        <f aca="false">IF(A180="","",COUNTIF(Incidencias!$B$2:$B$151,A180))</f>
        <v/>
      </c>
      <c r="Q180" s="13" t="str">
        <f aca="false">IF(A180="","",COUNTIFS(Incidencias!$B$2:$B$151,A180,Incidencias!$F$2:$F$151,"Abierta"))</f>
        <v/>
      </c>
      <c r="R180" s="21" t="str">
        <f aca="false">IF(L180="Sí",H180-I180,IF(A180="","",0))</f>
        <v/>
      </c>
      <c r="S180" s="13" t="str">
        <f aca="false">IF(AND(J180="Entregado",F180&lt;&gt;"",G180&lt;&gt;""),IF(G180&lt;=F180,"Sí","No"),"")</f>
        <v/>
      </c>
      <c r="T180" s="13" t="str">
        <f aca="false">IF(A180="","",IF(K180="Cliente no registrado","Cliente sin dar de alta",IF(F180="","Falta fecha prevista",IF(AND(J180="Entregado",G180=""),"Entregado sin fecha de entrega",IF(ISNA(MATCH(J180,Inicio!$Z$1:$Z$6,0)),"Estado no reconocido",IF(F180&lt;C180,"Prevista anterior al pedido",IF(AND(G180&lt;&gt;"",G180&lt;C180),"Entrega anterior al pedido","")))))))</f>
        <v/>
      </c>
      <c r="U180" s="13" t="str">
        <f aca="false">IF(L180&lt;&gt;"Sí","",IF(M180="Dato pendiente","Poner fecha prevista y avisar al cliente",IF(M180="En plazo","Seguimiento normal",IF(J180="Listo para recoger","Recordar la recogida al cliente",IF(J180="Esperando pieza","Pedir fecha al proveedor y avisar al cliente",IF(J180="En taller","Revisar con el taller","Confirmar el pedido con el proveedor"))))))</f>
        <v/>
      </c>
      <c r="V180" s="29" t="str">
        <f aca="false">IF(M180="Dato pendiente",1000+ROW()/10000,IF(M180="Fuera de plazo",N180+ROW()/10000,""))</f>
        <v/>
      </c>
      <c r="W180" s="30" t="str">
        <f aca="false">IF(T180="","",ROW())</f>
        <v/>
      </c>
    </row>
    <row r="181" customFormat="false" ht="15" hidden="false" customHeight="false" outlineLevel="0" collapsed="false">
      <c r="A181" s="13"/>
      <c r="B181" s="13"/>
      <c r="C181" s="28"/>
      <c r="D181" s="13"/>
      <c r="E181" s="13"/>
      <c r="F181" s="28"/>
      <c r="G181" s="28"/>
      <c r="H181" s="21"/>
      <c r="I181" s="21"/>
      <c r="J181" s="13"/>
      <c r="K181" s="13" t="str">
        <f aca="false">IF(A181="","",IFERROR(INDEX(Clientes!$B$2:$B$200,MATCH(B181,Clientes!$A$2:$A$200,0)),"Cliente no registrado"))</f>
        <v/>
      </c>
      <c r="L181" s="13" t="str">
        <f aca="false">IF(A181="","",IF(OR(J181="Entregado",J181="Anulado"),"No","Sí"))</f>
        <v/>
      </c>
      <c r="M181" s="13" t="str">
        <f aca="false">IF(A181="","",IF(J181="Entregado","Entregado",IF(J181="Anulado","Anulado",IF(F181="","Dato pendiente",IF(F181&lt;Control!$C$4,"Fuera de plazo","En plazo")))))</f>
        <v/>
      </c>
      <c r="N181" s="13" t="str">
        <f aca="false">IF(M181="Fuera de plazo",Control!$C$4-F181,"")</f>
        <v/>
      </c>
      <c r="O181" s="13" t="str">
        <f aca="false">IF(M181="Fuera de plazo",IF(J181="Listo para recoger","Cliente (no recoge)","Tienda o proveedor"),"")</f>
        <v/>
      </c>
      <c r="P181" s="13" t="str">
        <f aca="false">IF(A181="","",COUNTIF(Incidencias!$B$2:$B$151,A181))</f>
        <v/>
      </c>
      <c r="Q181" s="13" t="str">
        <f aca="false">IF(A181="","",COUNTIFS(Incidencias!$B$2:$B$151,A181,Incidencias!$F$2:$F$151,"Abierta"))</f>
        <v/>
      </c>
      <c r="R181" s="21" t="str">
        <f aca="false">IF(L181="Sí",H181-I181,IF(A181="","",0))</f>
        <v/>
      </c>
      <c r="S181" s="13" t="str">
        <f aca="false">IF(AND(J181="Entregado",F181&lt;&gt;"",G181&lt;&gt;""),IF(G181&lt;=F181,"Sí","No"),"")</f>
        <v/>
      </c>
      <c r="T181" s="13" t="str">
        <f aca="false">IF(A181="","",IF(K181="Cliente no registrado","Cliente sin dar de alta",IF(F181="","Falta fecha prevista",IF(AND(J181="Entregado",G181=""),"Entregado sin fecha de entrega",IF(ISNA(MATCH(J181,Inicio!$Z$1:$Z$6,0)),"Estado no reconocido",IF(F181&lt;C181,"Prevista anterior al pedido",IF(AND(G181&lt;&gt;"",G181&lt;C181),"Entrega anterior al pedido","")))))))</f>
        <v/>
      </c>
      <c r="U181" s="13" t="str">
        <f aca="false">IF(L181&lt;&gt;"Sí","",IF(M181="Dato pendiente","Poner fecha prevista y avisar al cliente",IF(M181="En plazo","Seguimiento normal",IF(J181="Listo para recoger","Recordar la recogida al cliente",IF(J181="Esperando pieza","Pedir fecha al proveedor y avisar al cliente",IF(J181="En taller","Revisar con el taller","Confirmar el pedido con el proveedor"))))))</f>
        <v/>
      </c>
      <c r="V181" s="29" t="str">
        <f aca="false">IF(M181="Dato pendiente",1000+ROW()/10000,IF(M181="Fuera de plazo",N181+ROW()/10000,""))</f>
        <v/>
      </c>
      <c r="W181" s="30" t="str">
        <f aca="false">IF(T181="","",ROW())</f>
        <v/>
      </c>
    </row>
    <row r="182" customFormat="false" ht="15" hidden="false" customHeight="false" outlineLevel="0" collapsed="false">
      <c r="A182" s="13"/>
      <c r="B182" s="13"/>
      <c r="C182" s="28"/>
      <c r="D182" s="13"/>
      <c r="E182" s="13"/>
      <c r="F182" s="28"/>
      <c r="G182" s="28"/>
      <c r="H182" s="21"/>
      <c r="I182" s="21"/>
      <c r="J182" s="13"/>
      <c r="K182" s="13" t="str">
        <f aca="false">IF(A182="","",IFERROR(INDEX(Clientes!$B$2:$B$200,MATCH(B182,Clientes!$A$2:$A$200,0)),"Cliente no registrado"))</f>
        <v/>
      </c>
      <c r="L182" s="13" t="str">
        <f aca="false">IF(A182="","",IF(OR(J182="Entregado",J182="Anulado"),"No","Sí"))</f>
        <v/>
      </c>
      <c r="M182" s="13" t="str">
        <f aca="false">IF(A182="","",IF(J182="Entregado","Entregado",IF(J182="Anulado","Anulado",IF(F182="","Dato pendiente",IF(F182&lt;Control!$C$4,"Fuera de plazo","En plazo")))))</f>
        <v/>
      </c>
      <c r="N182" s="13" t="str">
        <f aca="false">IF(M182="Fuera de plazo",Control!$C$4-F182,"")</f>
        <v/>
      </c>
      <c r="O182" s="13" t="str">
        <f aca="false">IF(M182="Fuera de plazo",IF(J182="Listo para recoger","Cliente (no recoge)","Tienda o proveedor"),"")</f>
        <v/>
      </c>
      <c r="P182" s="13" t="str">
        <f aca="false">IF(A182="","",COUNTIF(Incidencias!$B$2:$B$151,A182))</f>
        <v/>
      </c>
      <c r="Q182" s="13" t="str">
        <f aca="false">IF(A182="","",COUNTIFS(Incidencias!$B$2:$B$151,A182,Incidencias!$F$2:$F$151,"Abierta"))</f>
        <v/>
      </c>
      <c r="R182" s="21" t="str">
        <f aca="false">IF(L182="Sí",H182-I182,IF(A182="","",0))</f>
        <v/>
      </c>
      <c r="S182" s="13" t="str">
        <f aca="false">IF(AND(J182="Entregado",F182&lt;&gt;"",G182&lt;&gt;""),IF(G182&lt;=F182,"Sí","No"),"")</f>
        <v/>
      </c>
      <c r="T182" s="13" t="str">
        <f aca="false">IF(A182="","",IF(K182="Cliente no registrado","Cliente sin dar de alta",IF(F182="","Falta fecha prevista",IF(AND(J182="Entregado",G182=""),"Entregado sin fecha de entrega",IF(ISNA(MATCH(J182,Inicio!$Z$1:$Z$6,0)),"Estado no reconocido",IF(F182&lt;C182,"Prevista anterior al pedido",IF(AND(G182&lt;&gt;"",G182&lt;C182),"Entrega anterior al pedido","")))))))</f>
        <v/>
      </c>
      <c r="U182" s="13" t="str">
        <f aca="false">IF(L182&lt;&gt;"Sí","",IF(M182="Dato pendiente","Poner fecha prevista y avisar al cliente",IF(M182="En plazo","Seguimiento normal",IF(J182="Listo para recoger","Recordar la recogida al cliente",IF(J182="Esperando pieza","Pedir fecha al proveedor y avisar al cliente",IF(J182="En taller","Revisar con el taller","Confirmar el pedido con el proveedor"))))))</f>
        <v/>
      </c>
      <c r="V182" s="29" t="str">
        <f aca="false">IF(M182="Dato pendiente",1000+ROW()/10000,IF(M182="Fuera de plazo",N182+ROW()/10000,""))</f>
        <v/>
      </c>
      <c r="W182" s="30" t="str">
        <f aca="false">IF(T182="","",ROW())</f>
        <v/>
      </c>
    </row>
    <row r="183" customFormat="false" ht="15" hidden="false" customHeight="false" outlineLevel="0" collapsed="false">
      <c r="A183" s="13"/>
      <c r="B183" s="13"/>
      <c r="C183" s="28"/>
      <c r="D183" s="13"/>
      <c r="E183" s="13"/>
      <c r="F183" s="28"/>
      <c r="G183" s="28"/>
      <c r="H183" s="21"/>
      <c r="I183" s="21"/>
      <c r="J183" s="13"/>
      <c r="K183" s="13" t="str">
        <f aca="false">IF(A183="","",IFERROR(INDEX(Clientes!$B$2:$B$200,MATCH(B183,Clientes!$A$2:$A$200,0)),"Cliente no registrado"))</f>
        <v/>
      </c>
      <c r="L183" s="13" t="str">
        <f aca="false">IF(A183="","",IF(OR(J183="Entregado",J183="Anulado"),"No","Sí"))</f>
        <v/>
      </c>
      <c r="M183" s="13" t="str">
        <f aca="false">IF(A183="","",IF(J183="Entregado","Entregado",IF(J183="Anulado","Anulado",IF(F183="","Dato pendiente",IF(F183&lt;Control!$C$4,"Fuera de plazo","En plazo")))))</f>
        <v/>
      </c>
      <c r="N183" s="13" t="str">
        <f aca="false">IF(M183="Fuera de plazo",Control!$C$4-F183,"")</f>
        <v/>
      </c>
      <c r="O183" s="13" t="str">
        <f aca="false">IF(M183="Fuera de plazo",IF(J183="Listo para recoger","Cliente (no recoge)","Tienda o proveedor"),"")</f>
        <v/>
      </c>
      <c r="P183" s="13" t="str">
        <f aca="false">IF(A183="","",COUNTIF(Incidencias!$B$2:$B$151,A183))</f>
        <v/>
      </c>
      <c r="Q183" s="13" t="str">
        <f aca="false">IF(A183="","",COUNTIFS(Incidencias!$B$2:$B$151,A183,Incidencias!$F$2:$F$151,"Abierta"))</f>
        <v/>
      </c>
      <c r="R183" s="21" t="str">
        <f aca="false">IF(L183="Sí",H183-I183,IF(A183="","",0))</f>
        <v/>
      </c>
      <c r="S183" s="13" t="str">
        <f aca="false">IF(AND(J183="Entregado",F183&lt;&gt;"",G183&lt;&gt;""),IF(G183&lt;=F183,"Sí","No"),"")</f>
        <v/>
      </c>
      <c r="T183" s="13" t="str">
        <f aca="false">IF(A183="","",IF(K183="Cliente no registrado","Cliente sin dar de alta",IF(F183="","Falta fecha prevista",IF(AND(J183="Entregado",G183=""),"Entregado sin fecha de entrega",IF(ISNA(MATCH(J183,Inicio!$Z$1:$Z$6,0)),"Estado no reconocido",IF(F183&lt;C183,"Prevista anterior al pedido",IF(AND(G183&lt;&gt;"",G183&lt;C183),"Entrega anterior al pedido","")))))))</f>
        <v/>
      </c>
      <c r="U183" s="13" t="str">
        <f aca="false">IF(L183&lt;&gt;"Sí","",IF(M183="Dato pendiente","Poner fecha prevista y avisar al cliente",IF(M183="En plazo","Seguimiento normal",IF(J183="Listo para recoger","Recordar la recogida al cliente",IF(J183="Esperando pieza","Pedir fecha al proveedor y avisar al cliente",IF(J183="En taller","Revisar con el taller","Confirmar el pedido con el proveedor"))))))</f>
        <v/>
      </c>
      <c r="V183" s="29" t="str">
        <f aca="false">IF(M183="Dato pendiente",1000+ROW()/10000,IF(M183="Fuera de plazo",N183+ROW()/10000,""))</f>
        <v/>
      </c>
      <c r="W183" s="30" t="str">
        <f aca="false">IF(T183="","",ROW())</f>
        <v/>
      </c>
    </row>
    <row r="184" customFormat="false" ht="15" hidden="false" customHeight="false" outlineLevel="0" collapsed="false">
      <c r="A184" s="13"/>
      <c r="B184" s="13"/>
      <c r="C184" s="28"/>
      <c r="D184" s="13"/>
      <c r="E184" s="13"/>
      <c r="F184" s="28"/>
      <c r="G184" s="28"/>
      <c r="H184" s="21"/>
      <c r="I184" s="21"/>
      <c r="J184" s="13"/>
      <c r="K184" s="13" t="str">
        <f aca="false">IF(A184="","",IFERROR(INDEX(Clientes!$B$2:$B$200,MATCH(B184,Clientes!$A$2:$A$200,0)),"Cliente no registrado"))</f>
        <v/>
      </c>
      <c r="L184" s="13" t="str">
        <f aca="false">IF(A184="","",IF(OR(J184="Entregado",J184="Anulado"),"No","Sí"))</f>
        <v/>
      </c>
      <c r="M184" s="13" t="str">
        <f aca="false">IF(A184="","",IF(J184="Entregado","Entregado",IF(J184="Anulado","Anulado",IF(F184="","Dato pendiente",IF(F184&lt;Control!$C$4,"Fuera de plazo","En plazo")))))</f>
        <v/>
      </c>
      <c r="N184" s="13" t="str">
        <f aca="false">IF(M184="Fuera de plazo",Control!$C$4-F184,"")</f>
        <v/>
      </c>
      <c r="O184" s="13" t="str">
        <f aca="false">IF(M184="Fuera de plazo",IF(J184="Listo para recoger","Cliente (no recoge)","Tienda o proveedor"),"")</f>
        <v/>
      </c>
      <c r="P184" s="13" t="str">
        <f aca="false">IF(A184="","",COUNTIF(Incidencias!$B$2:$B$151,A184))</f>
        <v/>
      </c>
      <c r="Q184" s="13" t="str">
        <f aca="false">IF(A184="","",COUNTIFS(Incidencias!$B$2:$B$151,A184,Incidencias!$F$2:$F$151,"Abierta"))</f>
        <v/>
      </c>
      <c r="R184" s="21" t="str">
        <f aca="false">IF(L184="Sí",H184-I184,IF(A184="","",0))</f>
        <v/>
      </c>
      <c r="S184" s="13" t="str">
        <f aca="false">IF(AND(J184="Entregado",F184&lt;&gt;"",G184&lt;&gt;""),IF(G184&lt;=F184,"Sí","No"),"")</f>
        <v/>
      </c>
      <c r="T184" s="13" t="str">
        <f aca="false">IF(A184="","",IF(K184="Cliente no registrado","Cliente sin dar de alta",IF(F184="","Falta fecha prevista",IF(AND(J184="Entregado",G184=""),"Entregado sin fecha de entrega",IF(ISNA(MATCH(J184,Inicio!$Z$1:$Z$6,0)),"Estado no reconocido",IF(F184&lt;C184,"Prevista anterior al pedido",IF(AND(G184&lt;&gt;"",G184&lt;C184),"Entrega anterior al pedido","")))))))</f>
        <v/>
      </c>
      <c r="U184" s="13" t="str">
        <f aca="false">IF(L184&lt;&gt;"Sí","",IF(M184="Dato pendiente","Poner fecha prevista y avisar al cliente",IF(M184="En plazo","Seguimiento normal",IF(J184="Listo para recoger","Recordar la recogida al cliente",IF(J184="Esperando pieza","Pedir fecha al proveedor y avisar al cliente",IF(J184="En taller","Revisar con el taller","Confirmar el pedido con el proveedor"))))))</f>
        <v/>
      </c>
      <c r="V184" s="29" t="str">
        <f aca="false">IF(M184="Dato pendiente",1000+ROW()/10000,IF(M184="Fuera de plazo",N184+ROW()/10000,""))</f>
        <v/>
      </c>
      <c r="W184" s="30" t="str">
        <f aca="false">IF(T184="","",ROW())</f>
        <v/>
      </c>
    </row>
    <row r="185" customFormat="false" ht="15" hidden="false" customHeight="false" outlineLevel="0" collapsed="false">
      <c r="A185" s="13"/>
      <c r="B185" s="13"/>
      <c r="C185" s="28"/>
      <c r="D185" s="13"/>
      <c r="E185" s="13"/>
      <c r="F185" s="28"/>
      <c r="G185" s="28"/>
      <c r="H185" s="21"/>
      <c r="I185" s="21"/>
      <c r="J185" s="13"/>
      <c r="K185" s="13" t="str">
        <f aca="false">IF(A185="","",IFERROR(INDEX(Clientes!$B$2:$B$200,MATCH(B185,Clientes!$A$2:$A$200,0)),"Cliente no registrado"))</f>
        <v/>
      </c>
      <c r="L185" s="13" t="str">
        <f aca="false">IF(A185="","",IF(OR(J185="Entregado",J185="Anulado"),"No","Sí"))</f>
        <v/>
      </c>
      <c r="M185" s="13" t="str">
        <f aca="false">IF(A185="","",IF(J185="Entregado","Entregado",IF(J185="Anulado","Anulado",IF(F185="","Dato pendiente",IF(F185&lt;Control!$C$4,"Fuera de plazo","En plazo")))))</f>
        <v/>
      </c>
      <c r="N185" s="13" t="str">
        <f aca="false">IF(M185="Fuera de plazo",Control!$C$4-F185,"")</f>
        <v/>
      </c>
      <c r="O185" s="13" t="str">
        <f aca="false">IF(M185="Fuera de plazo",IF(J185="Listo para recoger","Cliente (no recoge)","Tienda o proveedor"),"")</f>
        <v/>
      </c>
      <c r="P185" s="13" t="str">
        <f aca="false">IF(A185="","",COUNTIF(Incidencias!$B$2:$B$151,A185))</f>
        <v/>
      </c>
      <c r="Q185" s="13" t="str">
        <f aca="false">IF(A185="","",COUNTIFS(Incidencias!$B$2:$B$151,A185,Incidencias!$F$2:$F$151,"Abierta"))</f>
        <v/>
      </c>
      <c r="R185" s="21" t="str">
        <f aca="false">IF(L185="Sí",H185-I185,IF(A185="","",0))</f>
        <v/>
      </c>
      <c r="S185" s="13" t="str">
        <f aca="false">IF(AND(J185="Entregado",F185&lt;&gt;"",G185&lt;&gt;""),IF(G185&lt;=F185,"Sí","No"),"")</f>
        <v/>
      </c>
      <c r="T185" s="13" t="str">
        <f aca="false">IF(A185="","",IF(K185="Cliente no registrado","Cliente sin dar de alta",IF(F185="","Falta fecha prevista",IF(AND(J185="Entregado",G185=""),"Entregado sin fecha de entrega",IF(ISNA(MATCH(J185,Inicio!$Z$1:$Z$6,0)),"Estado no reconocido",IF(F185&lt;C185,"Prevista anterior al pedido",IF(AND(G185&lt;&gt;"",G185&lt;C185),"Entrega anterior al pedido","")))))))</f>
        <v/>
      </c>
      <c r="U185" s="13" t="str">
        <f aca="false">IF(L185&lt;&gt;"Sí","",IF(M185="Dato pendiente","Poner fecha prevista y avisar al cliente",IF(M185="En plazo","Seguimiento normal",IF(J185="Listo para recoger","Recordar la recogida al cliente",IF(J185="Esperando pieza","Pedir fecha al proveedor y avisar al cliente",IF(J185="En taller","Revisar con el taller","Confirmar el pedido con el proveedor"))))))</f>
        <v/>
      </c>
      <c r="V185" s="29" t="str">
        <f aca="false">IF(M185="Dato pendiente",1000+ROW()/10000,IF(M185="Fuera de plazo",N185+ROW()/10000,""))</f>
        <v/>
      </c>
      <c r="W185" s="30" t="str">
        <f aca="false">IF(T185="","",ROW())</f>
        <v/>
      </c>
    </row>
    <row r="186" customFormat="false" ht="15" hidden="false" customHeight="false" outlineLevel="0" collapsed="false">
      <c r="A186" s="13"/>
      <c r="B186" s="13"/>
      <c r="C186" s="28"/>
      <c r="D186" s="13"/>
      <c r="E186" s="13"/>
      <c r="F186" s="28"/>
      <c r="G186" s="28"/>
      <c r="H186" s="21"/>
      <c r="I186" s="21"/>
      <c r="J186" s="13"/>
      <c r="K186" s="13" t="str">
        <f aca="false">IF(A186="","",IFERROR(INDEX(Clientes!$B$2:$B$200,MATCH(B186,Clientes!$A$2:$A$200,0)),"Cliente no registrado"))</f>
        <v/>
      </c>
      <c r="L186" s="13" t="str">
        <f aca="false">IF(A186="","",IF(OR(J186="Entregado",J186="Anulado"),"No","Sí"))</f>
        <v/>
      </c>
      <c r="M186" s="13" t="str">
        <f aca="false">IF(A186="","",IF(J186="Entregado","Entregado",IF(J186="Anulado","Anulado",IF(F186="","Dato pendiente",IF(F186&lt;Control!$C$4,"Fuera de plazo","En plazo")))))</f>
        <v/>
      </c>
      <c r="N186" s="13" t="str">
        <f aca="false">IF(M186="Fuera de plazo",Control!$C$4-F186,"")</f>
        <v/>
      </c>
      <c r="O186" s="13" t="str">
        <f aca="false">IF(M186="Fuera de plazo",IF(J186="Listo para recoger","Cliente (no recoge)","Tienda o proveedor"),"")</f>
        <v/>
      </c>
      <c r="P186" s="13" t="str">
        <f aca="false">IF(A186="","",COUNTIF(Incidencias!$B$2:$B$151,A186))</f>
        <v/>
      </c>
      <c r="Q186" s="13" t="str">
        <f aca="false">IF(A186="","",COUNTIFS(Incidencias!$B$2:$B$151,A186,Incidencias!$F$2:$F$151,"Abierta"))</f>
        <v/>
      </c>
      <c r="R186" s="21" t="str">
        <f aca="false">IF(L186="Sí",H186-I186,IF(A186="","",0))</f>
        <v/>
      </c>
      <c r="S186" s="13" t="str">
        <f aca="false">IF(AND(J186="Entregado",F186&lt;&gt;"",G186&lt;&gt;""),IF(G186&lt;=F186,"Sí","No"),"")</f>
        <v/>
      </c>
      <c r="T186" s="13" t="str">
        <f aca="false">IF(A186="","",IF(K186="Cliente no registrado","Cliente sin dar de alta",IF(F186="","Falta fecha prevista",IF(AND(J186="Entregado",G186=""),"Entregado sin fecha de entrega",IF(ISNA(MATCH(J186,Inicio!$Z$1:$Z$6,0)),"Estado no reconocido",IF(F186&lt;C186,"Prevista anterior al pedido",IF(AND(G186&lt;&gt;"",G186&lt;C186),"Entrega anterior al pedido","")))))))</f>
        <v/>
      </c>
      <c r="U186" s="13" t="str">
        <f aca="false">IF(L186&lt;&gt;"Sí","",IF(M186="Dato pendiente","Poner fecha prevista y avisar al cliente",IF(M186="En plazo","Seguimiento normal",IF(J186="Listo para recoger","Recordar la recogida al cliente",IF(J186="Esperando pieza","Pedir fecha al proveedor y avisar al cliente",IF(J186="En taller","Revisar con el taller","Confirmar el pedido con el proveedor"))))))</f>
        <v/>
      </c>
      <c r="V186" s="29" t="str">
        <f aca="false">IF(M186="Dato pendiente",1000+ROW()/10000,IF(M186="Fuera de plazo",N186+ROW()/10000,""))</f>
        <v/>
      </c>
      <c r="W186" s="30" t="str">
        <f aca="false">IF(T186="","",ROW())</f>
        <v/>
      </c>
    </row>
    <row r="187" customFormat="false" ht="15" hidden="false" customHeight="false" outlineLevel="0" collapsed="false">
      <c r="A187" s="13"/>
      <c r="B187" s="13"/>
      <c r="C187" s="28"/>
      <c r="D187" s="13"/>
      <c r="E187" s="13"/>
      <c r="F187" s="28"/>
      <c r="G187" s="28"/>
      <c r="H187" s="21"/>
      <c r="I187" s="21"/>
      <c r="J187" s="13"/>
      <c r="K187" s="13" t="str">
        <f aca="false">IF(A187="","",IFERROR(INDEX(Clientes!$B$2:$B$200,MATCH(B187,Clientes!$A$2:$A$200,0)),"Cliente no registrado"))</f>
        <v/>
      </c>
      <c r="L187" s="13" t="str">
        <f aca="false">IF(A187="","",IF(OR(J187="Entregado",J187="Anulado"),"No","Sí"))</f>
        <v/>
      </c>
      <c r="M187" s="13" t="str">
        <f aca="false">IF(A187="","",IF(J187="Entregado","Entregado",IF(J187="Anulado","Anulado",IF(F187="","Dato pendiente",IF(F187&lt;Control!$C$4,"Fuera de plazo","En plazo")))))</f>
        <v/>
      </c>
      <c r="N187" s="13" t="str">
        <f aca="false">IF(M187="Fuera de plazo",Control!$C$4-F187,"")</f>
        <v/>
      </c>
      <c r="O187" s="13" t="str">
        <f aca="false">IF(M187="Fuera de plazo",IF(J187="Listo para recoger","Cliente (no recoge)","Tienda o proveedor"),"")</f>
        <v/>
      </c>
      <c r="P187" s="13" t="str">
        <f aca="false">IF(A187="","",COUNTIF(Incidencias!$B$2:$B$151,A187))</f>
        <v/>
      </c>
      <c r="Q187" s="13" t="str">
        <f aca="false">IF(A187="","",COUNTIFS(Incidencias!$B$2:$B$151,A187,Incidencias!$F$2:$F$151,"Abierta"))</f>
        <v/>
      </c>
      <c r="R187" s="21" t="str">
        <f aca="false">IF(L187="Sí",H187-I187,IF(A187="","",0))</f>
        <v/>
      </c>
      <c r="S187" s="13" t="str">
        <f aca="false">IF(AND(J187="Entregado",F187&lt;&gt;"",G187&lt;&gt;""),IF(G187&lt;=F187,"Sí","No"),"")</f>
        <v/>
      </c>
      <c r="T187" s="13" t="str">
        <f aca="false">IF(A187="","",IF(K187="Cliente no registrado","Cliente sin dar de alta",IF(F187="","Falta fecha prevista",IF(AND(J187="Entregado",G187=""),"Entregado sin fecha de entrega",IF(ISNA(MATCH(J187,Inicio!$Z$1:$Z$6,0)),"Estado no reconocido",IF(F187&lt;C187,"Prevista anterior al pedido",IF(AND(G187&lt;&gt;"",G187&lt;C187),"Entrega anterior al pedido","")))))))</f>
        <v/>
      </c>
      <c r="U187" s="13" t="str">
        <f aca="false">IF(L187&lt;&gt;"Sí","",IF(M187="Dato pendiente","Poner fecha prevista y avisar al cliente",IF(M187="En plazo","Seguimiento normal",IF(J187="Listo para recoger","Recordar la recogida al cliente",IF(J187="Esperando pieza","Pedir fecha al proveedor y avisar al cliente",IF(J187="En taller","Revisar con el taller","Confirmar el pedido con el proveedor"))))))</f>
        <v/>
      </c>
      <c r="V187" s="29" t="str">
        <f aca="false">IF(M187="Dato pendiente",1000+ROW()/10000,IF(M187="Fuera de plazo",N187+ROW()/10000,""))</f>
        <v/>
      </c>
      <c r="W187" s="30" t="str">
        <f aca="false">IF(T187="","",ROW())</f>
        <v/>
      </c>
    </row>
    <row r="188" customFormat="false" ht="15" hidden="false" customHeight="false" outlineLevel="0" collapsed="false">
      <c r="A188" s="13"/>
      <c r="B188" s="13"/>
      <c r="C188" s="28"/>
      <c r="D188" s="13"/>
      <c r="E188" s="13"/>
      <c r="F188" s="28"/>
      <c r="G188" s="28"/>
      <c r="H188" s="21"/>
      <c r="I188" s="21"/>
      <c r="J188" s="13"/>
      <c r="K188" s="13" t="str">
        <f aca="false">IF(A188="","",IFERROR(INDEX(Clientes!$B$2:$B$200,MATCH(B188,Clientes!$A$2:$A$200,0)),"Cliente no registrado"))</f>
        <v/>
      </c>
      <c r="L188" s="13" t="str">
        <f aca="false">IF(A188="","",IF(OR(J188="Entregado",J188="Anulado"),"No","Sí"))</f>
        <v/>
      </c>
      <c r="M188" s="13" t="str">
        <f aca="false">IF(A188="","",IF(J188="Entregado","Entregado",IF(J188="Anulado","Anulado",IF(F188="","Dato pendiente",IF(F188&lt;Control!$C$4,"Fuera de plazo","En plazo")))))</f>
        <v/>
      </c>
      <c r="N188" s="13" t="str">
        <f aca="false">IF(M188="Fuera de plazo",Control!$C$4-F188,"")</f>
        <v/>
      </c>
      <c r="O188" s="13" t="str">
        <f aca="false">IF(M188="Fuera de plazo",IF(J188="Listo para recoger","Cliente (no recoge)","Tienda o proveedor"),"")</f>
        <v/>
      </c>
      <c r="P188" s="13" t="str">
        <f aca="false">IF(A188="","",COUNTIF(Incidencias!$B$2:$B$151,A188))</f>
        <v/>
      </c>
      <c r="Q188" s="13" t="str">
        <f aca="false">IF(A188="","",COUNTIFS(Incidencias!$B$2:$B$151,A188,Incidencias!$F$2:$F$151,"Abierta"))</f>
        <v/>
      </c>
      <c r="R188" s="21" t="str">
        <f aca="false">IF(L188="Sí",H188-I188,IF(A188="","",0))</f>
        <v/>
      </c>
      <c r="S188" s="13" t="str">
        <f aca="false">IF(AND(J188="Entregado",F188&lt;&gt;"",G188&lt;&gt;""),IF(G188&lt;=F188,"Sí","No"),"")</f>
        <v/>
      </c>
      <c r="T188" s="13" t="str">
        <f aca="false">IF(A188="","",IF(K188="Cliente no registrado","Cliente sin dar de alta",IF(F188="","Falta fecha prevista",IF(AND(J188="Entregado",G188=""),"Entregado sin fecha de entrega",IF(ISNA(MATCH(J188,Inicio!$Z$1:$Z$6,0)),"Estado no reconocido",IF(F188&lt;C188,"Prevista anterior al pedido",IF(AND(G188&lt;&gt;"",G188&lt;C188),"Entrega anterior al pedido","")))))))</f>
        <v/>
      </c>
      <c r="U188" s="13" t="str">
        <f aca="false">IF(L188&lt;&gt;"Sí","",IF(M188="Dato pendiente","Poner fecha prevista y avisar al cliente",IF(M188="En plazo","Seguimiento normal",IF(J188="Listo para recoger","Recordar la recogida al cliente",IF(J188="Esperando pieza","Pedir fecha al proveedor y avisar al cliente",IF(J188="En taller","Revisar con el taller","Confirmar el pedido con el proveedor"))))))</f>
        <v/>
      </c>
      <c r="V188" s="29" t="str">
        <f aca="false">IF(M188="Dato pendiente",1000+ROW()/10000,IF(M188="Fuera de plazo",N188+ROW()/10000,""))</f>
        <v/>
      </c>
      <c r="W188" s="30" t="str">
        <f aca="false">IF(T188="","",ROW())</f>
        <v/>
      </c>
    </row>
    <row r="189" customFormat="false" ht="15" hidden="false" customHeight="false" outlineLevel="0" collapsed="false">
      <c r="A189" s="13"/>
      <c r="B189" s="13"/>
      <c r="C189" s="28"/>
      <c r="D189" s="13"/>
      <c r="E189" s="13"/>
      <c r="F189" s="28"/>
      <c r="G189" s="28"/>
      <c r="H189" s="21"/>
      <c r="I189" s="21"/>
      <c r="J189" s="13"/>
      <c r="K189" s="13" t="str">
        <f aca="false">IF(A189="","",IFERROR(INDEX(Clientes!$B$2:$B$200,MATCH(B189,Clientes!$A$2:$A$200,0)),"Cliente no registrado"))</f>
        <v/>
      </c>
      <c r="L189" s="13" t="str">
        <f aca="false">IF(A189="","",IF(OR(J189="Entregado",J189="Anulado"),"No","Sí"))</f>
        <v/>
      </c>
      <c r="M189" s="13" t="str">
        <f aca="false">IF(A189="","",IF(J189="Entregado","Entregado",IF(J189="Anulado","Anulado",IF(F189="","Dato pendiente",IF(F189&lt;Control!$C$4,"Fuera de plazo","En plazo")))))</f>
        <v/>
      </c>
      <c r="N189" s="13" t="str">
        <f aca="false">IF(M189="Fuera de plazo",Control!$C$4-F189,"")</f>
        <v/>
      </c>
      <c r="O189" s="13" t="str">
        <f aca="false">IF(M189="Fuera de plazo",IF(J189="Listo para recoger","Cliente (no recoge)","Tienda o proveedor"),"")</f>
        <v/>
      </c>
      <c r="P189" s="13" t="str">
        <f aca="false">IF(A189="","",COUNTIF(Incidencias!$B$2:$B$151,A189))</f>
        <v/>
      </c>
      <c r="Q189" s="13" t="str">
        <f aca="false">IF(A189="","",COUNTIFS(Incidencias!$B$2:$B$151,A189,Incidencias!$F$2:$F$151,"Abierta"))</f>
        <v/>
      </c>
      <c r="R189" s="21" t="str">
        <f aca="false">IF(L189="Sí",H189-I189,IF(A189="","",0))</f>
        <v/>
      </c>
      <c r="S189" s="13" t="str">
        <f aca="false">IF(AND(J189="Entregado",F189&lt;&gt;"",G189&lt;&gt;""),IF(G189&lt;=F189,"Sí","No"),"")</f>
        <v/>
      </c>
      <c r="T189" s="13" t="str">
        <f aca="false">IF(A189="","",IF(K189="Cliente no registrado","Cliente sin dar de alta",IF(F189="","Falta fecha prevista",IF(AND(J189="Entregado",G189=""),"Entregado sin fecha de entrega",IF(ISNA(MATCH(J189,Inicio!$Z$1:$Z$6,0)),"Estado no reconocido",IF(F189&lt;C189,"Prevista anterior al pedido",IF(AND(G189&lt;&gt;"",G189&lt;C189),"Entrega anterior al pedido","")))))))</f>
        <v/>
      </c>
      <c r="U189" s="13" t="str">
        <f aca="false">IF(L189&lt;&gt;"Sí","",IF(M189="Dato pendiente","Poner fecha prevista y avisar al cliente",IF(M189="En plazo","Seguimiento normal",IF(J189="Listo para recoger","Recordar la recogida al cliente",IF(J189="Esperando pieza","Pedir fecha al proveedor y avisar al cliente",IF(J189="En taller","Revisar con el taller","Confirmar el pedido con el proveedor"))))))</f>
        <v/>
      </c>
      <c r="V189" s="29" t="str">
        <f aca="false">IF(M189="Dato pendiente",1000+ROW()/10000,IF(M189="Fuera de plazo",N189+ROW()/10000,""))</f>
        <v/>
      </c>
      <c r="W189" s="30" t="str">
        <f aca="false">IF(T189="","",ROW())</f>
        <v/>
      </c>
    </row>
    <row r="190" customFormat="false" ht="15" hidden="false" customHeight="false" outlineLevel="0" collapsed="false">
      <c r="A190" s="13"/>
      <c r="B190" s="13"/>
      <c r="C190" s="28"/>
      <c r="D190" s="13"/>
      <c r="E190" s="13"/>
      <c r="F190" s="28"/>
      <c r="G190" s="28"/>
      <c r="H190" s="21"/>
      <c r="I190" s="21"/>
      <c r="J190" s="13"/>
      <c r="K190" s="13" t="str">
        <f aca="false">IF(A190="","",IFERROR(INDEX(Clientes!$B$2:$B$200,MATCH(B190,Clientes!$A$2:$A$200,0)),"Cliente no registrado"))</f>
        <v/>
      </c>
      <c r="L190" s="13" t="str">
        <f aca="false">IF(A190="","",IF(OR(J190="Entregado",J190="Anulado"),"No","Sí"))</f>
        <v/>
      </c>
      <c r="M190" s="13" t="str">
        <f aca="false">IF(A190="","",IF(J190="Entregado","Entregado",IF(J190="Anulado","Anulado",IF(F190="","Dato pendiente",IF(F190&lt;Control!$C$4,"Fuera de plazo","En plazo")))))</f>
        <v/>
      </c>
      <c r="N190" s="13" t="str">
        <f aca="false">IF(M190="Fuera de plazo",Control!$C$4-F190,"")</f>
        <v/>
      </c>
      <c r="O190" s="13" t="str">
        <f aca="false">IF(M190="Fuera de plazo",IF(J190="Listo para recoger","Cliente (no recoge)","Tienda o proveedor"),"")</f>
        <v/>
      </c>
      <c r="P190" s="13" t="str">
        <f aca="false">IF(A190="","",COUNTIF(Incidencias!$B$2:$B$151,A190))</f>
        <v/>
      </c>
      <c r="Q190" s="13" t="str">
        <f aca="false">IF(A190="","",COUNTIFS(Incidencias!$B$2:$B$151,A190,Incidencias!$F$2:$F$151,"Abierta"))</f>
        <v/>
      </c>
      <c r="R190" s="21" t="str">
        <f aca="false">IF(L190="Sí",H190-I190,IF(A190="","",0))</f>
        <v/>
      </c>
      <c r="S190" s="13" t="str">
        <f aca="false">IF(AND(J190="Entregado",F190&lt;&gt;"",G190&lt;&gt;""),IF(G190&lt;=F190,"Sí","No"),"")</f>
        <v/>
      </c>
      <c r="T190" s="13" t="str">
        <f aca="false">IF(A190="","",IF(K190="Cliente no registrado","Cliente sin dar de alta",IF(F190="","Falta fecha prevista",IF(AND(J190="Entregado",G190=""),"Entregado sin fecha de entrega",IF(ISNA(MATCH(J190,Inicio!$Z$1:$Z$6,0)),"Estado no reconocido",IF(F190&lt;C190,"Prevista anterior al pedido",IF(AND(G190&lt;&gt;"",G190&lt;C190),"Entrega anterior al pedido","")))))))</f>
        <v/>
      </c>
      <c r="U190" s="13" t="str">
        <f aca="false">IF(L190&lt;&gt;"Sí","",IF(M190="Dato pendiente","Poner fecha prevista y avisar al cliente",IF(M190="En plazo","Seguimiento normal",IF(J190="Listo para recoger","Recordar la recogida al cliente",IF(J190="Esperando pieza","Pedir fecha al proveedor y avisar al cliente",IF(J190="En taller","Revisar con el taller","Confirmar el pedido con el proveedor"))))))</f>
        <v/>
      </c>
      <c r="V190" s="29" t="str">
        <f aca="false">IF(M190="Dato pendiente",1000+ROW()/10000,IF(M190="Fuera de plazo",N190+ROW()/10000,""))</f>
        <v/>
      </c>
      <c r="W190" s="30" t="str">
        <f aca="false">IF(T190="","",ROW())</f>
        <v/>
      </c>
    </row>
    <row r="191" customFormat="false" ht="15" hidden="false" customHeight="false" outlineLevel="0" collapsed="false">
      <c r="A191" s="13"/>
      <c r="B191" s="13"/>
      <c r="C191" s="28"/>
      <c r="D191" s="13"/>
      <c r="E191" s="13"/>
      <c r="F191" s="28"/>
      <c r="G191" s="28"/>
      <c r="H191" s="21"/>
      <c r="I191" s="21"/>
      <c r="J191" s="13"/>
      <c r="K191" s="13" t="str">
        <f aca="false">IF(A191="","",IFERROR(INDEX(Clientes!$B$2:$B$200,MATCH(B191,Clientes!$A$2:$A$200,0)),"Cliente no registrado"))</f>
        <v/>
      </c>
      <c r="L191" s="13" t="str">
        <f aca="false">IF(A191="","",IF(OR(J191="Entregado",J191="Anulado"),"No","Sí"))</f>
        <v/>
      </c>
      <c r="M191" s="13" t="str">
        <f aca="false">IF(A191="","",IF(J191="Entregado","Entregado",IF(J191="Anulado","Anulado",IF(F191="","Dato pendiente",IF(F191&lt;Control!$C$4,"Fuera de plazo","En plazo")))))</f>
        <v/>
      </c>
      <c r="N191" s="13" t="str">
        <f aca="false">IF(M191="Fuera de plazo",Control!$C$4-F191,"")</f>
        <v/>
      </c>
      <c r="O191" s="13" t="str">
        <f aca="false">IF(M191="Fuera de plazo",IF(J191="Listo para recoger","Cliente (no recoge)","Tienda o proveedor"),"")</f>
        <v/>
      </c>
      <c r="P191" s="13" t="str">
        <f aca="false">IF(A191="","",COUNTIF(Incidencias!$B$2:$B$151,A191))</f>
        <v/>
      </c>
      <c r="Q191" s="13" t="str">
        <f aca="false">IF(A191="","",COUNTIFS(Incidencias!$B$2:$B$151,A191,Incidencias!$F$2:$F$151,"Abierta"))</f>
        <v/>
      </c>
      <c r="R191" s="21" t="str">
        <f aca="false">IF(L191="Sí",H191-I191,IF(A191="","",0))</f>
        <v/>
      </c>
      <c r="S191" s="13" t="str">
        <f aca="false">IF(AND(J191="Entregado",F191&lt;&gt;"",G191&lt;&gt;""),IF(G191&lt;=F191,"Sí","No"),"")</f>
        <v/>
      </c>
      <c r="T191" s="13" t="str">
        <f aca="false">IF(A191="","",IF(K191="Cliente no registrado","Cliente sin dar de alta",IF(F191="","Falta fecha prevista",IF(AND(J191="Entregado",G191=""),"Entregado sin fecha de entrega",IF(ISNA(MATCH(J191,Inicio!$Z$1:$Z$6,0)),"Estado no reconocido",IF(F191&lt;C191,"Prevista anterior al pedido",IF(AND(G191&lt;&gt;"",G191&lt;C191),"Entrega anterior al pedido","")))))))</f>
        <v/>
      </c>
      <c r="U191" s="13" t="str">
        <f aca="false">IF(L191&lt;&gt;"Sí","",IF(M191="Dato pendiente","Poner fecha prevista y avisar al cliente",IF(M191="En plazo","Seguimiento normal",IF(J191="Listo para recoger","Recordar la recogida al cliente",IF(J191="Esperando pieza","Pedir fecha al proveedor y avisar al cliente",IF(J191="En taller","Revisar con el taller","Confirmar el pedido con el proveedor"))))))</f>
        <v/>
      </c>
      <c r="V191" s="29" t="str">
        <f aca="false">IF(M191="Dato pendiente",1000+ROW()/10000,IF(M191="Fuera de plazo",N191+ROW()/10000,""))</f>
        <v/>
      </c>
      <c r="W191" s="30" t="str">
        <f aca="false">IF(T191="","",ROW())</f>
        <v/>
      </c>
    </row>
    <row r="192" customFormat="false" ht="15" hidden="false" customHeight="false" outlineLevel="0" collapsed="false">
      <c r="A192" s="13"/>
      <c r="B192" s="13"/>
      <c r="C192" s="28"/>
      <c r="D192" s="13"/>
      <c r="E192" s="13"/>
      <c r="F192" s="28"/>
      <c r="G192" s="28"/>
      <c r="H192" s="21"/>
      <c r="I192" s="21"/>
      <c r="J192" s="13"/>
      <c r="K192" s="13" t="str">
        <f aca="false">IF(A192="","",IFERROR(INDEX(Clientes!$B$2:$B$200,MATCH(B192,Clientes!$A$2:$A$200,0)),"Cliente no registrado"))</f>
        <v/>
      </c>
      <c r="L192" s="13" t="str">
        <f aca="false">IF(A192="","",IF(OR(J192="Entregado",J192="Anulado"),"No","Sí"))</f>
        <v/>
      </c>
      <c r="M192" s="13" t="str">
        <f aca="false">IF(A192="","",IF(J192="Entregado","Entregado",IF(J192="Anulado","Anulado",IF(F192="","Dato pendiente",IF(F192&lt;Control!$C$4,"Fuera de plazo","En plazo")))))</f>
        <v/>
      </c>
      <c r="N192" s="13" t="str">
        <f aca="false">IF(M192="Fuera de plazo",Control!$C$4-F192,"")</f>
        <v/>
      </c>
      <c r="O192" s="13" t="str">
        <f aca="false">IF(M192="Fuera de plazo",IF(J192="Listo para recoger","Cliente (no recoge)","Tienda o proveedor"),"")</f>
        <v/>
      </c>
      <c r="P192" s="13" t="str">
        <f aca="false">IF(A192="","",COUNTIF(Incidencias!$B$2:$B$151,A192))</f>
        <v/>
      </c>
      <c r="Q192" s="13" t="str">
        <f aca="false">IF(A192="","",COUNTIFS(Incidencias!$B$2:$B$151,A192,Incidencias!$F$2:$F$151,"Abierta"))</f>
        <v/>
      </c>
      <c r="R192" s="21" t="str">
        <f aca="false">IF(L192="Sí",H192-I192,IF(A192="","",0))</f>
        <v/>
      </c>
      <c r="S192" s="13" t="str">
        <f aca="false">IF(AND(J192="Entregado",F192&lt;&gt;"",G192&lt;&gt;""),IF(G192&lt;=F192,"Sí","No"),"")</f>
        <v/>
      </c>
      <c r="T192" s="13" t="str">
        <f aca="false">IF(A192="","",IF(K192="Cliente no registrado","Cliente sin dar de alta",IF(F192="","Falta fecha prevista",IF(AND(J192="Entregado",G192=""),"Entregado sin fecha de entrega",IF(ISNA(MATCH(J192,Inicio!$Z$1:$Z$6,0)),"Estado no reconocido",IF(F192&lt;C192,"Prevista anterior al pedido",IF(AND(G192&lt;&gt;"",G192&lt;C192),"Entrega anterior al pedido","")))))))</f>
        <v/>
      </c>
      <c r="U192" s="13" t="str">
        <f aca="false">IF(L192&lt;&gt;"Sí","",IF(M192="Dato pendiente","Poner fecha prevista y avisar al cliente",IF(M192="En plazo","Seguimiento normal",IF(J192="Listo para recoger","Recordar la recogida al cliente",IF(J192="Esperando pieza","Pedir fecha al proveedor y avisar al cliente",IF(J192="En taller","Revisar con el taller","Confirmar el pedido con el proveedor"))))))</f>
        <v/>
      </c>
      <c r="V192" s="29" t="str">
        <f aca="false">IF(M192="Dato pendiente",1000+ROW()/10000,IF(M192="Fuera de plazo",N192+ROW()/10000,""))</f>
        <v/>
      </c>
      <c r="W192" s="30" t="str">
        <f aca="false">IF(T192="","",ROW())</f>
        <v/>
      </c>
    </row>
    <row r="193" customFormat="false" ht="15" hidden="false" customHeight="false" outlineLevel="0" collapsed="false">
      <c r="A193" s="13"/>
      <c r="B193" s="13"/>
      <c r="C193" s="28"/>
      <c r="D193" s="13"/>
      <c r="E193" s="13"/>
      <c r="F193" s="28"/>
      <c r="G193" s="28"/>
      <c r="H193" s="21"/>
      <c r="I193" s="21"/>
      <c r="J193" s="13"/>
      <c r="K193" s="13" t="str">
        <f aca="false">IF(A193="","",IFERROR(INDEX(Clientes!$B$2:$B$200,MATCH(B193,Clientes!$A$2:$A$200,0)),"Cliente no registrado"))</f>
        <v/>
      </c>
      <c r="L193" s="13" t="str">
        <f aca="false">IF(A193="","",IF(OR(J193="Entregado",J193="Anulado"),"No","Sí"))</f>
        <v/>
      </c>
      <c r="M193" s="13" t="str">
        <f aca="false">IF(A193="","",IF(J193="Entregado","Entregado",IF(J193="Anulado","Anulado",IF(F193="","Dato pendiente",IF(F193&lt;Control!$C$4,"Fuera de plazo","En plazo")))))</f>
        <v/>
      </c>
      <c r="N193" s="13" t="str">
        <f aca="false">IF(M193="Fuera de plazo",Control!$C$4-F193,"")</f>
        <v/>
      </c>
      <c r="O193" s="13" t="str">
        <f aca="false">IF(M193="Fuera de plazo",IF(J193="Listo para recoger","Cliente (no recoge)","Tienda o proveedor"),"")</f>
        <v/>
      </c>
      <c r="P193" s="13" t="str">
        <f aca="false">IF(A193="","",COUNTIF(Incidencias!$B$2:$B$151,A193))</f>
        <v/>
      </c>
      <c r="Q193" s="13" t="str">
        <f aca="false">IF(A193="","",COUNTIFS(Incidencias!$B$2:$B$151,A193,Incidencias!$F$2:$F$151,"Abierta"))</f>
        <v/>
      </c>
      <c r="R193" s="21" t="str">
        <f aca="false">IF(L193="Sí",H193-I193,IF(A193="","",0))</f>
        <v/>
      </c>
      <c r="S193" s="13" t="str">
        <f aca="false">IF(AND(J193="Entregado",F193&lt;&gt;"",G193&lt;&gt;""),IF(G193&lt;=F193,"Sí","No"),"")</f>
        <v/>
      </c>
      <c r="T193" s="13" t="str">
        <f aca="false">IF(A193="","",IF(K193="Cliente no registrado","Cliente sin dar de alta",IF(F193="","Falta fecha prevista",IF(AND(J193="Entregado",G193=""),"Entregado sin fecha de entrega",IF(ISNA(MATCH(J193,Inicio!$Z$1:$Z$6,0)),"Estado no reconocido",IF(F193&lt;C193,"Prevista anterior al pedido",IF(AND(G193&lt;&gt;"",G193&lt;C193),"Entrega anterior al pedido","")))))))</f>
        <v/>
      </c>
      <c r="U193" s="13" t="str">
        <f aca="false">IF(L193&lt;&gt;"Sí","",IF(M193="Dato pendiente","Poner fecha prevista y avisar al cliente",IF(M193="En plazo","Seguimiento normal",IF(J193="Listo para recoger","Recordar la recogida al cliente",IF(J193="Esperando pieza","Pedir fecha al proveedor y avisar al cliente",IF(J193="En taller","Revisar con el taller","Confirmar el pedido con el proveedor"))))))</f>
        <v/>
      </c>
      <c r="V193" s="29" t="str">
        <f aca="false">IF(M193="Dato pendiente",1000+ROW()/10000,IF(M193="Fuera de plazo",N193+ROW()/10000,""))</f>
        <v/>
      </c>
      <c r="W193" s="30" t="str">
        <f aca="false">IF(T193="","",ROW())</f>
        <v/>
      </c>
    </row>
    <row r="194" customFormat="false" ht="15" hidden="false" customHeight="false" outlineLevel="0" collapsed="false">
      <c r="A194" s="13"/>
      <c r="B194" s="13"/>
      <c r="C194" s="28"/>
      <c r="D194" s="13"/>
      <c r="E194" s="13"/>
      <c r="F194" s="28"/>
      <c r="G194" s="28"/>
      <c r="H194" s="21"/>
      <c r="I194" s="21"/>
      <c r="J194" s="13"/>
      <c r="K194" s="13" t="str">
        <f aca="false">IF(A194="","",IFERROR(INDEX(Clientes!$B$2:$B$200,MATCH(B194,Clientes!$A$2:$A$200,0)),"Cliente no registrado"))</f>
        <v/>
      </c>
      <c r="L194" s="13" t="str">
        <f aca="false">IF(A194="","",IF(OR(J194="Entregado",J194="Anulado"),"No","Sí"))</f>
        <v/>
      </c>
      <c r="M194" s="13" t="str">
        <f aca="false">IF(A194="","",IF(J194="Entregado","Entregado",IF(J194="Anulado","Anulado",IF(F194="","Dato pendiente",IF(F194&lt;Control!$C$4,"Fuera de plazo","En plazo")))))</f>
        <v/>
      </c>
      <c r="N194" s="13" t="str">
        <f aca="false">IF(M194="Fuera de plazo",Control!$C$4-F194,"")</f>
        <v/>
      </c>
      <c r="O194" s="13" t="str">
        <f aca="false">IF(M194="Fuera de plazo",IF(J194="Listo para recoger","Cliente (no recoge)","Tienda o proveedor"),"")</f>
        <v/>
      </c>
      <c r="P194" s="13" t="str">
        <f aca="false">IF(A194="","",COUNTIF(Incidencias!$B$2:$B$151,A194))</f>
        <v/>
      </c>
      <c r="Q194" s="13" t="str">
        <f aca="false">IF(A194="","",COUNTIFS(Incidencias!$B$2:$B$151,A194,Incidencias!$F$2:$F$151,"Abierta"))</f>
        <v/>
      </c>
      <c r="R194" s="21" t="str">
        <f aca="false">IF(L194="Sí",H194-I194,IF(A194="","",0))</f>
        <v/>
      </c>
      <c r="S194" s="13" t="str">
        <f aca="false">IF(AND(J194="Entregado",F194&lt;&gt;"",G194&lt;&gt;""),IF(G194&lt;=F194,"Sí","No"),"")</f>
        <v/>
      </c>
      <c r="T194" s="13" t="str">
        <f aca="false">IF(A194="","",IF(K194="Cliente no registrado","Cliente sin dar de alta",IF(F194="","Falta fecha prevista",IF(AND(J194="Entregado",G194=""),"Entregado sin fecha de entrega",IF(ISNA(MATCH(J194,Inicio!$Z$1:$Z$6,0)),"Estado no reconocido",IF(F194&lt;C194,"Prevista anterior al pedido",IF(AND(G194&lt;&gt;"",G194&lt;C194),"Entrega anterior al pedido","")))))))</f>
        <v/>
      </c>
      <c r="U194" s="13" t="str">
        <f aca="false">IF(L194&lt;&gt;"Sí","",IF(M194="Dato pendiente","Poner fecha prevista y avisar al cliente",IF(M194="En plazo","Seguimiento normal",IF(J194="Listo para recoger","Recordar la recogida al cliente",IF(J194="Esperando pieza","Pedir fecha al proveedor y avisar al cliente",IF(J194="En taller","Revisar con el taller","Confirmar el pedido con el proveedor"))))))</f>
        <v/>
      </c>
      <c r="V194" s="29" t="str">
        <f aca="false">IF(M194="Dato pendiente",1000+ROW()/10000,IF(M194="Fuera de plazo",N194+ROW()/10000,""))</f>
        <v/>
      </c>
      <c r="W194" s="30" t="str">
        <f aca="false">IF(T194="","",ROW())</f>
        <v/>
      </c>
    </row>
    <row r="195" customFormat="false" ht="15" hidden="false" customHeight="false" outlineLevel="0" collapsed="false">
      <c r="A195" s="13"/>
      <c r="B195" s="13"/>
      <c r="C195" s="28"/>
      <c r="D195" s="13"/>
      <c r="E195" s="13"/>
      <c r="F195" s="28"/>
      <c r="G195" s="28"/>
      <c r="H195" s="21"/>
      <c r="I195" s="21"/>
      <c r="J195" s="13"/>
      <c r="K195" s="13" t="str">
        <f aca="false">IF(A195="","",IFERROR(INDEX(Clientes!$B$2:$B$200,MATCH(B195,Clientes!$A$2:$A$200,0)),"Cliente no registrado"))</f>
        <v/>
      </c>
      <c r="L195" s="13" t="str">
        <f aca="false">IF(A195="","",IF(OR(J195="Entregado",J195="Anulado"),"No","Sí"))</f>
        <v/>
      </c>
      <c r="M195" s="13" t="str">
        <f aca="false">IF(A195="","",IF(J195="Entregado","Entregado",IF(J195="Anulado","Anulado",IF(F195="","Dato pendiente",IF(F195&lt;Control!$C$4,"Fuera de plazo","En plazo")))))</f>
        <v/>
      </c>
      <c r="N195" s="13" t="str">
        <f aca="false">IF(M195="Fuera de plazo",Control!$C$4-F195,"")</f>
        <v/>
      </c>
      <c r="O195" s="13" t="str">
        <f aca="false">IF(M195="Fuera de plazo",IF(J195="Listo para recoger","Cliente (no recoge)","Tienda o proveedor"),"")</f>
        <v/>
      </c>
      <c r="P195" s="13" t="str">
        <f aca="false">IF(A195="","",COUNTIF(Incidencias!$B$2:$B$151,A195))</f>
        <v/>
      </c>
      <c r="Q195" s="13" t="str">
        <f aca="false">IF(A195="","",COUNTIFS(Incidencias!$B$2:$B$151,A195,Incidencias!$F$2:$F$151,"Abierta"))</f>
        <v/>
      </c>
      <c r="R195" s="21" t="str">
        <f aca="false">IF(L195="Sí",H195-I195,IF(A195="","",0))</f>
        <v/>
      </c>
      <c r="S195" s="13" t="str">
        <f aca="false">IF(AND(J195="Entregado",F195&lt;&gt;"",G195&lt;&gt;""),IF(G195&lt;=F195,"Sí","No"),"")</f>
        <v/>
      </c>
      <c r="T195" s="13" t="str">
        <f aca="false">IF(A195="","",IF(K195="Cliente no registrado","Cliente sin dar de alta",IF(F195="","Falta fecha prevista",IF(AND(J195="Entregado",G195=""),"Entregado sin fecha de entrega",IF(ISNA(MATCH(J195,Inicio!$Z$1:$Z$6,0)),"Estado no reconocido",IF(F195&lt;C195,"Prevista anterior al pedido",IF(AND(G195&lt;&gt;"",G195&lt;C195),"Entrega anterior al pedido","")))))))</f>
        <v/>
      </c>
      <c r="U195" s="13" t="str">
        <f aca="false">IF(L195&lt;&gt;"Sí","",IF(M195="Dato pendiente","Poner fecha prevista y avisar al cliente",IF(M195="En plazo","Seguimiento normal",IF(J195="Listo para recoger","Recordar la recogida al cliente",IF(J195="Esperando pieza","Pedir fecha al proveedor y avisar al cliente",IF(J195="En taller","Revisar con el taller","Confirmar el pedido con el proveedor"))))))</f>
        <v/>
      </c>
      <c r="V195" s="29" t="str">
        <f aca="false">IF(M195="Dato pendiente",1000+ROW()/10000,IF(M195="Fuera de plazo",N195+ROW()/10000,""))</f>
        <v/>
      </c>
      <c r="W195" s="30" t="str">
        <f aca="false">IF(T195="","",ROW())</f>
        <v/>
      </c>
    </row>
    <row r="196" customFormat="false" ht="15" hidden="false" customHeight="false" outlineLevel="0" collapsed="false">
      <c r="A196" s="13"/>
      <c r="B196" s="13"/>
      <c r="C196" s="28"/>
      <c r="D196" s="13"/>
      <c r="E196" s="13"/>
      <c r="F196" s="28"/>
      <c r="G196" s="28"/>
      <c r="H196" s="21"/>
      <c r="I196" s="21"/>
      <c r="J196" s="13"/>
      <c r="K196" s="13" t="str">
        <f aca="false">IF(A196="","",IFERROR(INDEX(Clientes!$B$2:$B$200,MATCH(B196,Clientes!$A$2:$A$200,0)),"Cliente no registrado"))</f>
        <v/>
      </c>
      <c r="L196" s="13" t="str">
        <f aca="false">IF(A196="","",IF(OR(J196="Entregado",J196="Anulado"),"No","Sí"))</f>
        <v/>
      </c>
      <c r="M196" s="13" t="str">
        <f aca="false">IF(A196="","",IF(J196="Entregado","Entregado",IF(J196="Anulado","Anulado",IF(F196="","Dato pendiente",IF(F196&lt;Control!$C$4,"Fuera de plazo","En plazo")))))</f>
        <v/>
      </c>
      <c r="N196" s="13" t="str">
        <f aca="false">IF(M196="Fuera de plazo",Control!$C$4-F196,"")</f>
        <v/>
      </c>
      <c r="O196" s="13" t="str">
        <f aca="false">IF(M196="Fuera de plazo",IF(J196="Listo para recoger","Cliente (no recoge)","Tienda o proveedor"),"")</f>
        <v/>
      </c>
      <c r="P196" s="13" t="str">
        <f aca="false">IF(A196="","",COUNTIF(Incidencias!$B$2:$B$151,A196))</f>
        <v/>
      </c>
      <c r="Q196" s="13" t="str">
        <f aca="false">IF(A196="","",COUNTIFS(Incidencias!$B$2:$B$151,A196,Incidencias!$F$2:$F$151,"Abierta"))</f>
        <v/>
      </c>
      <c r="R196" s="21" t="str">
        <f aca="false">IF(L196="Sí",H196-I196,IF(A196="","",0))</f>
        <v/>
      </c>
      <c r="S196" s="13" t="str">
        <f aca="false">IF(AND(J196="Entregado",F196&lt;&gt;"",G196&lt;&gt;""),IF(G196&lt;=F196,"Sí","No"),"")</f>
        <v/>
      </c>
      <c r="T196" s="13" t="str">
        <f aca="false">IF(A196="","",IF(K196="Cliente no registrado","Cliente sin dar de alta",IF(F196="","Falta fecha prevista",IF(AND(J196="Entregado",G196=""),"Entregado sin fecha de entrega",IF(ISNA(MATCH(J196,Inicio!$Z$1:$Z$6,0)),"Estado no reconocido",IF(F196&lt;C196,"Prevista anterior al pedido",IF(AND(G196&lt;&gt;"",G196&lt;C196),"Entrega anterior al pedido","")))))))</f>
        <v/>
      </c>
      <c r="U196" s="13" t="str">
        <f aca="false">IF(L196&lt;&gt;"Sí","",IF(M196="Dato pendiente","Poner fecha prevista y avisar al cliente",IF(M196="En plazo","Seguimiento normal",IF(J196="Listo para recoger","Recordar la recogida al cliente",IF(J196="Esperando pieza","Pedir fecha al proveedor y avisar al cliente",IF(J196="En taller","Revisar con el taller","Confirmar el pedido con el proveedor"))))))</f>
        <v/>
      </c>
      <c r="V196" s="29" t="str">
        <f aca="false">IF(M196="Dato pendiente",1000+ROW()/10000,IF(M196="Fuera de plazo",N196+ROW()/10000,""))</f>
        <v/>
      </c>
      <c r="W196" s="30" t="str">
        <f aca="false">IF(T196="","",ROW())</f>
        <v/>
      </c>
    </row>
    <row r="197" customFormat="false" ht="15" hidden="false" customHeight="false" outlineLevel="0" collapsed="false">
      <c r="A197" s="13"/>
      <c r="B197" s="13"/>
      <c r="C197" s="28"/>
      <c r="D197" s="13"/>
      <c r="E197" s="13"/>
      <c r="F197" s="28"/>
      <c r="G197" s="28"/>
      <c r="H197" s="21"/>
      <c r="I197" s="21"/>
      <c r="J197" s="13"/>
      <c r="K197" s="13" t="str">
        <f aca="false">IF(A197="","",IFERROR(INDEX(Clientes!$B$2:$B$200,MATCH(B197,Clientes!$A$2:$A$200,0)),"Cliente no registrado"))</f>
        <v/>
      </c>
      <c r="L197" s="13" t="str">
        <f aca="false">IF(A197="","",IF(OR(J197="Entregado",J197="Anulado"),"No","Sí"))</f>
        <v/>
      </c>
      <c r="M197" s="13" t="str">
        <f aca="false">IF(A197="","",IF(J197="Entregado","Entregado",IF(J197="Anulado","Anulado",IF(F197="","Dato pendiente",IF(F197&lt;Control!$C$4,"Fuera de plazo","En plazo")))))</f>
        <v/>
      </c>
      <c r="N197" s="13" t="str">
        <f aca="false">IF(M197="Fuera de plazo",Control!$C$4-F197,"")</f>
        <v/>
      </c>
      <c r="O197" s="13" t="str">
        <f aca="false">IF(M197="Fuera de plazo",IF(J197="Listo para recoger","Cliente (no recoge)","Tienda o proveedor"),"")</f>
        <v/>
      </c>
      <c r="P197" s="13" t="str">
        <f aca="false">IF(A197="","",COUNTIF(Incidencias!$B$2:$B$151,A197))</f>
        <v/>
      </c>
      <c r="Q197" s="13" t="str">
        <f aca="false">IF(A197="","",COUNTIFS(Incidencias!$B$2:$B$151,A197,Incidencias!$F$2:$F$151,"Abierta"))</f>
        <v/>
      </c>
      <c r="R197" s="21" t="str">
        <f aca="false">IF(L197="Sí",H197-I197,IF(A197="","",0))</f>
        <v/>
      </c>
      <c r="S197" s="13" t="str">
        <f aca="false">IF(AND(J197="Entregado",F197&lt;&gt;"",G197&lt;&gt;""),IF(G197&lt;=F197,"Sí","No"),"")</f>
        <v/>
      </c>
      <c r="T197" s="13" t="str">
        <f aca="false">IF(A197="","",IF(K197="Cliente no registrado","Cliente sin dar de alta",IF(F197="","Falta fecha prevista",IF(AND(J197="Entregado",G197=""),"Entregado sin fecha de entrega",IF(ISNA(MATCH(J197,Inicio!$Z$1:$Z$6,0)),"Estado no reconocido",IF(F197&lt;C197,"Prevista anterior al pedido",IF(AND(G197&lt;&gt;"",G197&lt;C197),"Entrega anterior al pedido","")))))))</f>
        <v/>
      </c>
      <c r="U197" s="13" t="str">
        <f aca="false">IF(L197&lt;&gt;"Sí","",IF(M197="Dato pendiente","Poner fecha prevista y avisar al cliente",IF(M197="En plazo","Seguimiento normal",IF(J197="Listo para recoger","Recordar la recogida al cliente",IF(J197="Esperando pieza","Pedir fecha al proveedor y avisar al cliente",IF(J197="En taller","Revisar con el taller","Confirmar el pedido con el proveedor"))))))</f>
        <v/>
      </c>
      <c r="V197" s="29" t="str">
        <f aca="false">IF(M197="Dato pendiente",1000+ROW()/10000,IF(M197="Fuera de plazo",N197+ROW()/10000,""))</f>
        <v/>
      </c>
      <c r="W197" s="30" t="str">
        <f aca="false">IF(T197="","",ROW())</f>
        <v/>
      </c>
    </row>
    <row r="198" customFormat="false" ht="15" hidden="false" customHeight="false" outlineLevel="0" collapsed="false">
      <c r="A198" s="13"/>
      <c r="B198" s="13"/>
      <c r="C198" s="28"/>
      <c r="D198" s="13"/>
      <c r="E198" s="13"/>
      <c r="F198" s="28"/>
      <c r="G198" s="28"/>
      <c r="H198" s="21"/>
      <c r="I198" s="21"/>
      <c r="J198" s="13"/>
      <c r="K198" s="13" t="str">
        <f aca="false">IF(A198="","",IFERROR(INDEX(Clientes!$B$2:$B$200,MATCH(B198,Clientes!$A$2:$A$200,0)),"Cliente no registrado"))</f>
        <v/>
      </c>
      <c r="L198" s="13" t="str">
        <f aca="false">IF(A198="","",IF(OR(J198="Entregado",J198="Anulado"),"No","Sí"))</f>
        <v/>
      </c>
      <c r="M198" s="13" t="str">
        <f aca="false">IF(A198="","",IF(J198="Entregado","Entregado",IF(J198="Anulado","Anulado",IF(F198="","Dato pendiente",IF(F198&lt;Control!$C$4,"Fuera de plazo","En plazo")))))</f>
        <v/>
      </c>
      <c r="N198" s="13" t="str">
        <f aca="false">IF(M198="Fuera de plazo",Control!$C$4-F198,"")</f>
        <v/>
      </c>
      <c r="O198" s="13" t="str">
        <f aca="false">IF(M198="Fuera de plazo",IF(J198="Listo para recoger","Cliente (no recoge)","Tienda o proveedor"),"")</f>
        <v/>
      </c>
      <c r="P198" s="13" t="str">
        <f aca="false">IF(A198="","",COUNTIF(Incidencias!$B$2:$B$151,A198))</f>
        <v/>
      </c>
      <c r="Q198" s="13" t="str">
        <f aca="false">IF(A198="","",COUNTIFS(Incidencias!$B$2:$B$151,A198,Incidencias!$F$2:$F$151,"Abierta"))</f>
        <v/>
      </c>
      <c r="R198" s="21" t="str">
        <f aca="false">IF(L198="Sí",H198-I198,IF(A198="","",0))</f>
        <v/>
      </c>
      <c r="S198" s="13" t="str">
        <f aca="false">IF(AND(J198="Entregado",F198&lt;&gt;"",G198&lt;&gt;""),IF(G198&lt;=F198,"Sí","No"),"")</f>
        <v/>
      </c>
      <c r="T198" s="13" t="str">
        <f aca="false">IF(A198="","",IF(K198="Cliente no registrado","Cliente sin dar de alta",IF(F198="","Falta fecha prevista",IF(AND(J198="Entregado",G198=""),"Entregado sin fecha de entrega",IF(ISNA(MATCH(J198,Inicio!$Z$1:$Z$6,0)),"Estado no reconocido",IF(F198&lt;C198,"Prevista anterior al pedido",IF(AND(G198&lt;&gt;"",G198&lt;C198),"Entrega anterior al pedido","")))))))</f>
        <v/>
      </c>
      <c r="U198" s="13" t="str">
        <f aca="false">IF(L198&lt;&gt;"Sí","",IF(M198="Dato pendiente","Poner fecha prevista y avisar al cliente",IF(M198="En plazo","Seguimiento normal",IF(J198="Listo para recoger","Recordar la recogida al cliente",IF(J198="Esperando pieza","Pedir fecha al proveedor y avisar al cliente",IF(J198="En taller","Revisar con el taller","Confirmar el pedido con el proveedor"))))))</f>
        <v/>
      </c>
      <c r="V198" s="29" t="str">
        <f aca="false">IF(M198="Dato pendiente",1000+ROW()/10000,IF(M198="Fuera de plazo",N198+ROW()/10000,""))</f>
        <v/>
      </c>
      <c r="W198" s="30" t="str">
        <f aca="false">IF(T198="","",ROW())</f>
        <v/>
      </c>
    </row>
    <row r="199" customFormat="false" ht="15" hidden="false" customHeight="false" outlineLevel="0" collapsed="false">
      <c r="A199" s="13"/>
      <c r="B199" s="13"/>
      <c r="C199" s="28"/>
      <c r="D199" s="13"/>
      <c r="E199" s="13"/>
      <c r="F199" s="28"/>
      <c r="G199" s="28"/>
      <c r="H199" s="21"/>
      <c r="I199" s="21"/>
      <c r="J199" s="13"/>
      <c r="K199" s="13" t="str">
        <f aca="false">IF(A199="","",IFERROR(INDEX(Clientes!$B$2:$B$200,MATCH(B199,Clientes!$A$2:$A$200,0)),"Cliente no registrado"))</f>
        <v/>
      </c>
      <c r="L199" s="13" t="str">
        <f aca="false">IF(A199="","",IF(OR(J199="Entregado",J199="Anulado"),"No","Sí"))</f>
        <v/>
      </c>
      <c r="M199" s="13" t="str">
        <f aca="false">IF(A199="","",IF(J199="Entregado","Entregado",IF(J199="Anulado","Anulado",IF(F199="","Dato pendiente",IF(F199&lt;Control!$C$4,"Fuera de plazo","En plazo")))))</f>
        <v/>
      </c>
      <c r="N199" s="13" t="str">
        <f aca="false">IF(M199="Fuera de plazo",Control!$C$4-F199,"")</f>
        <v/>
      </c>
      <c r="O199" s="13" t="str">
        <f aca="false">IF(M199="Fuera de plazo",IF(J199="Listo para recoger","Cliente (no recoge)","Tienda o proveedor"),"")</f>
        <v/>
      </c>
      <c r="P199" s="13" t="str">
        <f aca="false">IF(A199="","",COUNTIF(Incidencias!$B$2:$B$151,A199))</f>
        <v/>
      </c>
      <c r="Q199" s="13" t="str">
        <f aca="false">IF(A199="","",COUNTIFS(Incidencias!$B$2:$B$151,A199,Incidencias!$F$2:$F$151,"Abierta"))</f>
        <v/>
      </c>
      <c r="R199" s="21" t="str">
        <f aca="false">IF(L199="Sí",H199-I199,IF(A199="","",0))</f>
        <v/>
      </c>
      <c r="S199" s="13" t="str">
        <f aca="false">IF(AND(J199="Entregado",F199&lt;&gt;"",G199&lt;&gt;""),IF(G199&lt;=F199,"Sí","No"),"")</f>
        <v/>
      </c>
      <c r="T199" s="13" t="str">
        <f aca="false">IF(A199="","",IF(K199="Cliente no registrado","Cliente sin dar de alta",IF(F199="","Falta fecha prevista",IF(AND(J199="Entregado",G199=""),"Entregado sin fecha de entrega",IF(ISNA(MATCH(J199,Inicio!$Z$1:$Z$6,0)),"Estado no reconocido",IF(F199&lt;C199,"Prevista anterior al pedido",IF(AND(G199&lt;&gt;"",G199&lt;C199),"Entrega anterior al pedido","")))))))</f>
        <v/>
      </c>
      <c r="U199" s="13" t="str">
        <f aca="false">IF(L199&lt;&gt;"Sí","",IF(M199="Dato pendiente","Poner fecha prevista y avisar al cliente",IF(M199="En plazo","Seguimiento normal",IF(J199="Listo para recoger","Recordar la recogida al cliente",IF(J199="Esperando pieza","Pedir fecha al proveedor y avisar al cliente",IF(J199="En taller","Revisar con el taller","Confirmar el pedido con el proveedor"))))))</f>
        <v/>
      </c>
      <c r="V199" s="29" t="str">
        <f aca="false">IF(M199="Dato pendiente",1000+ROW()/10000,IF(M199="Fuera de plazo",N199+ROW()/10000,""))</f>
        <v/>
      </c>
      <c r="W199" s="30" t="str">
        <f aca="false">IF(T199="","",ROW())</f>
        <v/>
      </c>
    </row>
    <row r="200" customFormat="false" ht="15" hidden="false" customHeight="false" outlineLevel="0" collapsed="false">
      <c r="A200" s="13"/>
      <c r="B200" s="13"/>
      <c r="C200" s="28"/>
      <c r="D200" s="13"/>
      <c r="E200" s="13"/>
      <c r="F200" s="28"/>
      <c r="G200" s="28"/>
      <c r="H200" s="21"/>
      <c r="I200" s="21"/>
      <c r="J200" s="13"/>
      <c r="K200" s="13" t="str">
        <f aca="false">IF(A200="","",IFERROR(INDEX(Clientes!$B$2:$B$200,MATCH(B200,Clientes!$A$2:$A$200,0)),"Cliente no registrado"))</f>
        <v/>
      </c>
      <c r="L200" s="13" t="str">
        <f aca="false">IF(A200="","",IF(OR(J200="Entregado",J200="Anulado"),"No","Sí"))</f>
        <v/>
      </c>
      <c r="M200" s="13" t="str">
        <f aca="false">IF(A200="","",IF(J200="Entregado","Entregado",IF(J200="Anulado","Anulado",IF(F200="","Dato pendiente",IF(F200&lt;Control!$C$4,"Fuera de plazo","En plazo")))))</f>
        <v/>
      </c>
      <c r="N200" s="13" t="str">
        <f aca="false">IF(M200="Fuera de plazo",Control!$C$4-F200,"")</f>
        <v/>
      </c>
      <c r="O200" s="13" t="str">
        <f aca="false">IF(M200="Fuera de plazo",IF(J200="Listo para recoger","Cliente (no recoge)","Tienda o proveedor"),"")</f>
        <v/>
      </c>
      <c r="P200" s="13" t="str">
        <f aca="false">IF(A200="","",COUNTIF(Incidencias!$B$2:$B$151,A200))</f>
        <v/>
      </c>
      <c r="Q200" s="13" t="str">
        <f aca="false">IF(A200="","",COUNTIFS(Incidencias!$B$2:$B$151,A200,Incidencias!$F$2:$F$151,"Abierta"))</f>
        <v/>
      </c>
      <c r="R200" s="21" t="str">
        <f aca="false">IF(L200="Sí",H200-I200,IF(A200="","",0))</f>
        <v/>
      </c>
      <c r="S200" s="13" t="str">
        <f aca="false">IF(AND(J200="Entregado",F200&lt;&gt;"",G200&lt;&gt;""),IF(G200&lt;=F200,"Sí","No"),"")</f>
        <v/>
      </c>
      <c r="T200" s="13" t="str">
        <f aca="false">IF(A200="","",IF(K200="Cliente no registrado","Cliente sin dar de alta",IF(F200="","Falta fecha prevista",IF(AND(J200="Entregado",G200=""),"Entregado sin fecha de entrega",IF(ISNA(MATCH(J200,Inicio!$Z$1:$Z$6,0)),"Estado no reconocido",IF(F200&lt;C200,"Prevista anterior al pedido",IF(AND(G200&lt;&gt;"",G200&lt;C200),"Entrega anterior al pedido","")))))))</f>
        <v/>
      </c>
      <c r="U200" s="13" t="str">
        <f aca="false">IF(L200&lt;&gt;"Sí","",IF(M200="Dato pendiente","Poner fecha prevista y avisar al cliente",IF(M200="En plazo","Seguimiento normal",IF(J200="Listo para recoger","Recordar la recogida al cliente",IF(J200="Esperando pieza","Pedir fecha al proveedor y avisar al cliente",IF(J200="En taller","Revisar con el taller","Confirmar el pedido con el proveedor"))))))</f>
        <v/>
      </c>
      <c r="V200" s="29" t="str">
        <f aca="false">IF(M200="Dato pendiente",1000+ROW()/10000,IF(M200="Fuera de plazo",N200+ROW()/10000,""))</f>
        <v/>
      </c>
      <c r="W200" s="30" t="str">
        <f aca="false">IF(T200="","",ROW())</f>
        <v/>
      </c>
    </row>
    <row r="201" customFormat="false" ht="15" hidden="false" customHeight="false" outlineLevel="0" collapsed="false">
      <c r="A201" s="13"/>
      <c r="B201" s="13"/>
      <c r="C201" s="28"/>
      <c r="D201" s="13"/>
      <c r="E201" s="13"/>
      <c r="F201" s="28"/>
      <c r="G201" s="28"/>
      <c r="H201" s="21"/>
      <c r="I201" s="21"/>
      <c r="J201" s="13"/>
      <c r="K201" s="13" t="str">
        <f aca="false">IF(A201="","",IFERROR(INDEX(Clientes!$B$2:$B$200,MATCH(B201,Clientes!$A$2:$A$200,0)),"Cliente no registrado"))</f>
        <v/>
      </c>
      <c r="L201" s="13" t="str">
        <f aca="false">IF(A201="","",IF(OR(J201="Entregado",J201="Anulado"),"No","Sí"))</f>
        <v/>
      </c>
      <c r="M201" s="13" t="str">
        <f aca="false">IF(A201="","",IF(J201="Entregado","Entregado",IF(J201="Anulado","Anulado",IF(F201="","Dato pendiente",IF(F201&lt;Control!$C$4,"Fuera de plazo","En plazo")))))</f>
        <v/>
      </c>
      <c r="N201" s="13" t="str">
        <f aca="false">IF(M201="Fuera de plazo",Control!$C$4-F201,"")</f>
        <v/>
      </c>
      <c r="O201" s="13" t="str">
        <f aca="false">IF(M201="Fuera de plazo",IF(J201="Listo para recoger","Cliente (no recoge)","Tienda o proveedor"),"")</f>
        <v/>
      </c>
      <c r="P201" s="13" t="str">
        <f aca="false">IF(A201="","",COUNTIF(Incidencias!$B$2:$B$151,A201))</f>
        <v/>
      </c>
      <c r="Q201" s="13" t="str">
        <f aca="false">IF(A201="","",COUNTIFS(Incidencias!$B$2:$B$151,A201,Incidencias!$F$2:$F$151,"Abierta"))</f>
        <v/>
      </c>
      <c r="R201" s="21" t="str">
        <f aca="false">IF(L201="Sí",H201-I201,IF(A201="","",0))</f>
        <v/>
      </c>
      <c r="S201" s="13" t="str">
        <f aca="false">IF(AND(J201="Entregado",F201&lt;&gt;"",G201&lt;&gt;""),IF(G201&lt;=F201,"Sí","No"),"")</f>
        <v/>
      </c>
      <c r="T201" s="13" t="str">
        <f aca="false">IF(A201="","",IF(K201="Cliente no registrado","Cliente sin dar de alta",IF(F201="","Falta fecha prevista",IF(AND(J201="Entregado",G201=""),"Entregado sin fecha de entrega",IF(ISNA(MATCH(J201,Inicio!$Z$1:$Z$6,0)),"Estado no reconocido",IF(F201&lt;C201,"Prevista anterior al pedido",IF(AND(G201&lt;&gt;"",G201&lt;C201),"Entrega anterior al pedido","")))))))</f>
        <v/>
      </c>
      <c r="U201" s="13" t="str">
        <f aca="false">IF(L201&lt;&gt;"Sí","",IF(M201="Dato pendiente","Poner fecha prevista y avisar al cliente",IF(M201="En plazo","Seguimiento normal",IF(J201="Listo para recoger","Recordar la recogida al cliente",IF(J201="Esperando pieza","Pedir fecha al proveedor y avisar al cliente",IF(J201="En taller","Revisar con el taller","Confirmar el pedido con el proveedor"))))))</f>
        <v/>
      </c>
      <c r="V201" s="29" t="str">
        <f aca="false">IF(M201="Dato pendiente",1000+ROW()/10000,IF(M201="Fuera de plazo",N201+ROW()/10000,""))</f>
        <v/>
      </c>
      <c r="W201" s="30" t="str">
        <f aca="false">IF(T201="","",ROW())</f>
        <v/>
      </c>
    </row>
    <row r="202" customFormat="false" ht="15" hidden="false" customHeight="false" outlineLevel="0" collapsed="false">
      <c r="A202" s="13"/>
      <c r="B202" s="13"/>
      <c r="C202" s="28"/>
      <c r="D202" s="13"/>
      <c r="E202" s="13"/>
      <c r="F202" s="28"/>
      <c r="G202" s="28"/>
      <c r="H202" s="21"/>
      <c r="I202" s="21"/>
      <c r="J202" s="13"/>
      <c r="K202" s="13" t="str">
        <f aca="false">IF(A202="","",IFERROR(INDEX(Clientes!$B$2:$B$200,MATCH(B202,Clientes!$A$2:$A$200,0)),"Cliente no registrado"))</f>
        <v/>
      </c>
      <c r="L202" s="13" t="str">
        <f aca="false">IF(A202="","",IF(OR(J202="Entregado",J202="Anulado"),"No","Sí"))</f>
        <v/>
      </c>
      <c r="M202" s="13" t="str">
        <f aca="false">IF(A202="","",IF(J202="Entregado","Entregado",IF(J202="Anulado","Anulado",IF(F202="","Dato pendiente",IF(F202&lt;Control!$C$4,"Fuera de plazo","En plazo")))))</f>
        <v/>
      </c>
      <c r="N202" s="13" t="str">
        <f aca="false">IF(M202="Fuera de plazo",Control!$C$4-F202,"")</f>
        <v/>
      </c>
      <c r="O202" s="13" t="str">
        <f aca="false">IF(M202="Fuera de plazo",IF(J202="Listo para recoger","Cliente (no recoge)","Tienda o proveedor"),"")</f>
        <v/>
      </c>
      <c r="P202" s="13" t="str">
        <f aca="false">IF(A202="","",COUNTIF(Incidencias!$B$2:$B$151,A202))</f>
        <v/>
      </c>
      <c r="Q202" s="13" t="str">
        <f aca="false">IF(A202="","",COUNTIFS(Incidencias!$B$2:$B$151,A202,Incidencias!$F$2:$F$151,"Abierta"))</f>
        <v/>
      </c>
      <c r="R202" s="21" t="str">
        <f aca="false">IF(L202="Sí",H202-I202,IF(A202="","",0))</f>
        <v/>
      </c>
      <c r="S202" s="13" t="str">
        <f aca="false">IF(AND(J202="Entregado",F202&lt;&gt;"",G202&lt;&gt;""),IF(G202&lt;=F202,"Sí","No"),"")</f>
        <v/>
      </c>
      <c r="T202" s="13" t="str">
        <f aca="false">IF(A202="","",IF(K202="Cliente no registrado","Cliente sin dar de alta",IF(F202="","Falta fecha prevista",IF(AND(J202="Entregado",G202=""),"Entregado sin fecha de entrega",IF(ISNA(MATCH(J202,Inicio!$Z$1:$Z$6,0)),"Estado no reconocido",IF(F202&lt;C202,"Prevista anterior al pedido",IF(AND(G202&lt;&gt;"",G202&lt;C202),"Entrega anterior al pedido","")))))))</f>
        <v/>
      </c>
      <c r="U202" s="13" t="str">
        <f aca="false">IF(L202&lt;&gt;"Sí","",IF(M202="Dato pendiente","Poner fecha prevista y avisar al cliente",IF(M202="En plazo","Seguimiento normal",IF(J202="Listo para recoger","Recordar la recogida al cliente",IF(J202="Esperando pieza","Pedir fecha al proveedor y avisar al cliente",IF(J202="En taller","Revisar con el taller","Confirmar el pedido con el proveedor"))))))</f>
        <v/>
      </c>
      <c r="V202" s="29" t="str">
        <f aca="false">IF(M202="Dato pendiente",1000+ROW()/10000,IF(M202="Fuera de plazo",N202+ROW()/10000,""))</f>
        <v/>
      </c>
      <c r="W202" s="30" t="str">
        <f aca="false">IF(T202="","",ROW())</f>
        <v/>
      </c>
    </row>
    <row r="203" customFormat="false" ht="15" hidden="false" customHeight="false" outlineLevel="0" collapsed="false">
      <c r="A203" s="13"/>
      <c r="B203" s="13"/>
      <c r="C203" s="28"/>
      <c r="D203" s="13"/>
      <c r="E203" s="13"/>
      <c r="F203" s="28"/>
      <c r="G203" s="28"/>
      <c r="H203" s="21"/>
      <c r="I203" s="21"/>
      <c r="J203" s="13"/>
      <c r="K203" s="13" t="str">
        <f aca="false">IF(A203="","",IFERROR(INDEX(Clientes!$B$2:$B$200,MATCH(B203,Clientes!$A$2:$A$200,0)),"Cliente no registrado"))</f>
        <v/>
      </c>
      <c r="L203" s="13" t="str">
        <f aca="false">IF(A203="","",IF(OR(J203="Entregado",J203="Anulado"),"No","Sí"))</f>
        <v/>
      </c>
      <c r="M203" s="13" t="str">
        <f aca="false">IF(A203="","",IF(J203="Entregado","Entregado",IF(J203="Anulado","Anulado",IF(F203="","Dato pendiente",IF(F203&lt;Control!$C$4,"Fuera de plazo","En plazo")))))</f>
        <v/>
      </c>
      <c r="N203" s="13" t="str">
        <f aca="false">IF(M203="Fuera de plazo",Control!$C$4-F203,"")</f>
        <v/>
      </c>
      <c r="O203" s="13" t="str">
        <f aca="false">IF(M203="Fuera de plazo",IF(J203="Listo para recoger","Cliente (no recoge)","Tienda o proveedor"),"")</f>
        <v/>
      </c>
      <c r="P203" s="13" t="str">
        <f aca="false">IF(A203="","",COUNTIF(Incidencias!$B$2:$B$151,A203))</f>
        <v/>
      </c>
      <c r="Q203" s="13" t="str">
        <f aca="false">IF(A203="","",COUNTIFS(Incidencias!$B$2:$B$151,A203,Incidencias!$F$2:$F$151,"Abierta"))</f>
        <v/>
      </c>
      <c r="R203" s="21" t="str">
        <f aca="false">IF(L203="Sí",H203-I203,IF(A203="","",0))</f>
        <v/>
      </c>
      <c r="S203" s="13" t="str">
        <f aca="false">IF(AND(J203="Entregado",F203&lt;&gt;"",G203&lt;&gt;""),IF(G203&lt;=F203,"Sí","No"),"")</f>
        <v/>
      </c>
      <c r="T203" s="13" t="str">
        <f aca="false">IF(A203="","",IF(K203="Cliente no registrado","Cliente sin dar de alta",IF(F203="","Falta fecha prevista",IF(AND(J203="Entregado",G203=""),"Entregado sin fecha de entrega",IF(ISNA(MATCH(J203,Inicio!$Z$1:$Z$6,0)),"Estado no reconocido",IF(F203&lt;C203,"Prevista anterior al pedido",IF(AND(G203&lt;&gt;"",G203&lt;C203),"Entrega anterior al pedido","")))))))</f>
        <v/>
      </c>
      <c r="U203" s="13" t="str">
        <f aca="false">IF(L203&lt;&gt;"Sí","",IF(M203="Dato pendiente","Poner fecha prevista y avisar al cliente",IF(M203="En plazo","Seguimiento normal",IF(J203="Listo para recoger","Recordar la recogida al cliente",IF(J203="Esperando pieza","Pedir fecha al proveedor y avisar al cliente",IF(J203="En taller","Revisar con el taller","Confirmar el pedido con el proveedor"))))))</f>
        <v/>
      </c>
      <c r="V203" s="29" t="str">
        <f aca="false">IF(M203="Dato pendiente",1000+ROW()/10000,IF(M203="Fuera de plazo",N203+ROW()/10000,""))</f>
        <v/>
      </c>
      <c r="W203" s="30" t="str">
        <f aca="false">IF(T203="","",ROW())</f>
        <v/>
      </c>
    </row>
    <row r="204" customFormat="false" ht="15" hidden="false" customHeight="false" outlineLevel="0" collapsed="false">
      <c r="A204" s="13"/>
      <c r="B204" s="13"/>
      <c r="C204" s="28"/>
      <c r="D204" s="13"/>
      <c r="E204" s="13"/>
      <c r="F204" s="28"/>
      <c r="G204" s="28"/>
      <c r="H204" s="21"/>
      <c r="I204" s="21"/>
      <c r="J204" s="13"/>
      <c r="K204" s="13" t="str">
        <f aca="false">IF(A204="","",IFERROR(INDEX(Clientes!$B$2:$B$200,MATCH(B204,Clientes!$A$2:$A$200,0)),"Cliente no registrado"))</f>
        <v/>
      </c>
      <c r="L204" s="13" t="str">
        <f aca="false">IF(A204="","",IF(OR(J204="Entregado",J204="Anulado"),"No","Sí"))</f>
        <v/>
      </c>
      <c r="M204" s="13" t="str">
        <f aca="false">IF(A204="","",IF(J204="Entregado","Entregado",IF(J204="Anulado","Anulado",IF(F204="","Dato pendiente",IF(F204&lt;Control!$C$4,"Fuera de plazo","En plazo")))))</f>
        <v/>
      </c>
      <c r="N204" s="13" t="str">
        <f aca="false">IF(M204="Fuera de plazo",Control!$C$4-F204,"")</f>
        <v/>
      </c>
      <c r="O204" s="13" t="str">
        <f aca="false">IF(M204="Fuera de plazo",IF(J204="Listo para recoger","Cliente (no recoge)","Tienda o proveedor"),"")</f>
        <v/>
      </c>
      <c r="P204" s="13" t="str">
        <f aca="false">IF(A204="","",COUNTIF(Incidencias!$B$2:$B$151,A204))</f>
        <v/>
      </c>
      <c r="Q204" s="13" t="str">
        <f aca="false">IF(A204="","",COUNTIFS(Incidencias!$B$2:$B$151,A204,Incidencias!$F$2:$F$151,"Abierta"))</f>
        <v/>
      </c>
      <c r="R204" s="21" t="str">
        <f aca="false">IF(L204="Sí",H204-I204,IF(A204="","",0))</f>
        <v/>
      </c>
      <c r="S204" s="13" t="str">
        <f aca="false">IF(AND(J204="Entregado",F204&lt;&gt;"",G204&lt;&gt;""),IF(G204&lt;=F204,"Sí","No"),"")</f>
        <v/>
      </c>
      <c r="T204" s="13" t="str">
        <f aca="false">IF(A204="","",IF(K204="Cliente no registrado","Cliente sin dar de alta",IF(F204="","Falta fecha prevista",IF(AND(J204="Entregado",G204=""),"Entregado sin fecha de entrega",IF(ISNA(MATCH(J204,Inicio!$Z$1:$Z$6,0)),"Estado no reconocido",IF(F204&lt;C204,"Prevista anterior al pedido",IF(AND(G204&lt;&gt;"",G204&lt;C204),"Entrega anterior al pedido","")))))))</f>
        <v/>
      </c>
      <c r="U204" s="13" t="str">
        <f aca="false">IF(L204&lt;&gt;"Sí","",IF(M204="Dato pendiente","Poner fecha prevista y avisar al cliente",IF(M204="En plazo","Seguimiento normal",IF(J204="Listo para recoger","Recordar la recogida al cliente",IF(J204="Esperando pieza","Pedir fecha al proveedor y avisar al cliente",IF(J204="En taller","Revisar con el taller","Confirmar el pedido con el proveedor"))))))</f>
        <v/>
      </c>
      <c r="V204" s="29" t="str">
        <f aca="false">IF(M204="Dato pendiente",1000+ROW()/10000,IF(M204="Fuera de plazo",N204+ROW()/10000,""))</f>
        <v/>
      </c>
      <c r="W204" s="30" t="str">
        <f aca="false">IF(T204="","",ROW())</f>
        <v/>
      </c>
    </row>
    <row r="205" customFormat="false" ht="15" hidden="false" customHeight="false" outlineLevel="0" collapsed="false">
      <c r="A205" s="13"/>
      <c r="B205" s="13"/>
      <c r="C205" s="28"/>
      <c r="D205" s="13"/>
      <c r="E205" s="13"/>
      <c r="F205" s="28"/>
      <c r="G205" s="28"/>
      <c r="H205" s="21"/>
      <c r="I205" s="21"/>
      <c r="J205" s="13"/>
      <c r="K205" s="13" t="str">
        <f aca="false">IF(A205="","",IFERROR(INDEX(Clientes!$B$2:$B$200,MATCH(B205,Clientes!$A$2:$A$200,0)),"Cliente no registrado"))</f>
        <v/>
      </c>
      <c r="L205" s="13" t="str">
        <f aca="false">IF(A205="","",IF(OR(J205="Entregado",J205="Anulado"),"No","Sí"))</f>
        <v/>
      </c>
      <c r="M205" s="13" t="str">
        <f aca="false">IF(A205="","",IF(J205="Entregado","Entregado",IF(J205="Anulado","Anulado",IF(F205="","Dato pendiente",IF(F205&lt;Control!$C$4,"Fuera de plazo","En plazo")))))</f>
        <v/>
      </c>
      <c r="N205" s="13" t="str">
        <f aca="false">IF(M205="Fuera de plazo",Control!$C$4-F205,"")</f>
        <v/>
      </c>
      <c r="O205" s="13" t="str">
        <f aca="false">IF(M205="Fuera de plazo",IF(J205="Listo para recoger","Cliente (no recoge)","Tienda o proveedor"),"")</f>
        <v/>
      </c>
      <c r="P205" s="13" t="str">
        <f aca="false">IF(A205="","",COUNTIF(Incidencias!$B$2:$B$151,A205))</f>
        <v/>
      </c>
      <c r="Q205" s="13" t="str">
        <f aca="false">IF(A205="","",COUNTIFS(Incidencias!$B$2:$B$151,A205,Incidencias!$F$2:$F$151,"Abierta"))</f>
        <v/>
      </c>
      <c r="R205" s="21" t="str">
        <f aca="false">IF(L205="Sí",H205-I205,IF(A205="","",0))</f>
        <v/>
      </c>
      <c r="S205" s="13" t="str">
        <f aca="false">IF(AND(J205="Entregado",F205&lt;&gt;"",G205&lt;&gt;""),IF(G205&lt;=F205,"Sí","No"),"")</f>
        <v/>
      </c>
      <c r="T205" s="13" t="str">
        <f aca="false">IF(A205="","",IF(K205="Cliente no registrado","Cliente sin dar de alta",IF(F205="","Falta fecha prevista",IF(AND(J205="Entregado",G205=""),"Entregado sin fecha de entrega",IF(ISNA(MATCH(J205,Inicio!$Z$1:$Z$6,0)),"Estado no reconocido",IF(F205&lt;C205,"Prevista anterior al pedido",IF(AND(G205&lt;&gt;"",G205&lt;C205),"Entrega anterior al pedido","")))))))</f>
        <v/>
      </c>
      <c r="U205" s="13" t="str">
        <f aca="false">IF(L205&lt;&gt;"Sí","",IF(M205="Dato pendiente","Poner fecha prevista y avisar al cliente",IF(M205="En plazo","Seguimiento normal",IF(J205="Listo para recoger","Recordar la recogida al cliente",IF(J205="Esperando pieza","Pedir fecha al proveedor y avisar al cliente",IF(J205="En taller","Revisar con el taller","Confirmar el pedido con el proveedor"))))))</f>
        <v/>
      </c>
      <c r="V205" s="29" t="str">
        <f aca="false">IF(M205="Dato pendiente",1000+ROW()/10000,IF(M205="Fuera de plazo",N205+ROW()/10000,""))</f>
        <v/>
      </c>
      <c r="W205" s="30" t="str">
        <f aca="false">IF(T205="","",ROW())</f>
        <v/>
      </c>
    </row>
    <row r="206" customFormat="false" ht="15" hidden="false" customHeight="false" outlineLevel="0" collapsed="false">
      <c r="A206" s="13"/>
      <c r="B206" s="13"/>
      <c r="C206" s="28"/>
      <c r="D206" s="13"/>
      <c r="E206" s="13"/>
      <c r="F206" s="28"/>
      <c r="G206" s="28"/>
      <c r="H206" s="21"/>
      <c r="I206" s="21"/>
      <c r="J206" s="13"/>
      <c r="K206" s="13" t="str">
        <f aca="false">IF(A206="","",IFERROR(INDEX(Clientes!$B$2:$B$200,MATCH(B206,Clientes!$A$2:$A$200,0)),"Cliente no registrado"))</f>
        <v/>
      </c>
      <c r="L206" s="13" t="str">
        <f aca="false">IF(A206="","",IF(OR(J206="Entregado",J206="Anulado"),"No","Sí"))</f>
        <v/>
      </c>
      <c r="M206" s="13" t="str">
        <f aca="false">IF(A206="","",IF(J206="Entregado","Entregado",IF(J206="Anulado","Anulado",IF(F206="","Dato pendiente",IF(F206&lt;Control!$C$4,"Fuera de plazo","En plazo")))))</f>
        <v/>
      </c>
      <c r="N206" s="13" t="str">
        <f aca="false">IF(M206="Fuera de plazo",Control!$C$4-F206,"")</f>
        <v/>
      </c>
      <c r="O206" s="13" t="str">
        <f aca="false">IF(M206="Fuera de plazo",IF(J206="Listo para recoger","Cliente (no recoge)","Tienda o proveedor"),"")</f>
        <v/>
      </c>
      <c r="P206" s="13" t="str">
        <f aca="false">IF(A206="","",COUNTIF(Incidencias!$B$2:$B$151,A206))</f>
        <v/>
      </c>
      <c r="Q206" s="13" t="str">
        <f aca="false">IF(A206="","",COUNTIFS(Incidencias!$B$2:$B$151,A206,Incidencias!$F$2:$F$151,"Abierta"))</f>
        <v/>
      </c>
      <c r="R206" s="21" t="str">
        <f aca="false">IF(L206="Sí",H206-I206,IF(A206="","",0))</f>
        <v/>
      </c>
      <c r="S206" s="13" t="str">
        <f aca="false">IF(AND(J206="Entregado",F206&lt;&gt;"",G206&lt;&gt;""),IF(G206&lt;=F206,"Sí","No"),"")</f>
        <v/>
      </c>
      <c r="T206" s="13" t="str">
        <f aca="false">IF(A206="","",IF(K206="Cliente no registrado","Cliente sin dar de alta",IF(F206="","Falta fecha prevista",IF(AND(J206="Entregado",G206=""),"Entregado sin fecha de entrega",IF(ISNA(MATCH(J206,Inicio!$Z$1:$Z$6,0)),"Estado no reconocido",IF(F206&lt;C206,"Prevista anterior al pedido",IF(AND(G206&lt;&gt;"",G206&lt;C206),"Entrega anterior al pedido","")))))))</f>
        <v/>
      </c>
      <c r="U206" s="13" t="str">
        <f aca="false">IF(L206&lt;&gt;"Sí","",IF(M206="Dato pendiente","Poner fecha prevista y avisar al cliente",IF(M206="En plazo","Seguimiento normal",IF(J206="Listo para recoger","Recordar la recogida al cliente",IF(J206="Esperando pieza","Pedir fecha al proveedor y avisar al cliente",IF(J206="En taller","Revisar con el taller","Confirmar el pedido con el proveedor"))))))</f>
        <v/>
      </c>
      <c r="V206" s="29" t="str">
        <f aca="false">IF(M206="Dato pendiente",1000+ROW()/10000,IF(M206="Fuera de plazo",N206+ROW()/10000,""))</f>
        <v/>
      </c>
      <c r="W206" s="30" t="str">
        <f aca="false">IF(T206="","",ROW())</f>
        <v/>
      </c>
    </row>
    <row r="207" customFormat="false" ht="15" hidden="false" customHeight="false" outlineLevel="0" collapsed="false">
      <c r="A207" s="13"/>
      <c r="B207" s="13"/>
      <c r="C207" s="28"/>
      <c r="D207" s="13"/>
      <c r="E207" s="13"/>
      <c r="F207" s="28"/>
      <c r="G207" s="28"/>
      <c r="H207" s="21"/>
      <c r="I207" s="21"/>
      <c r="J207" s="13"/>
      <c r="K207" s="13" t="str">
        <f aca="false">IF(A207="","",IFERROR(INDEX(Clientes!$B$2:$B$200,MATCH(B207,Clientes!$A$2:$A$200,0)),"Cliente no registrado"))</f>
        <v/>
      </c>
      <c r="L207" s="13" t="str">
        <f aca="false">IF(A207="","",IF(OR(J207="Entregado",J207="Anulado"),"No","Sí"))</f>
        <v/>
      </c>
      <c r="M207" s="13" t="str">
        <f aca="false">IF(A207="","",IF(J207="Entregado","Entregado",IF(J207="Anulado","Anulado",IF(F207="","Dato pendiente",IF(F207&lt;Control!$C$4,"Fuera de plazo","En plazo")))))</f>
        <v/>
      </c>
      <c r="N207" s="13" t="str">
        <f aca="false">IF(M207="Fuera de plazo",Control!$C$4-F207,"")</f>
        <v/>
      </c>
      <c r="O207" s="13" t="str">
        <f aca="false">IF(M207="Fuera de plazo",IF(J207="Listo para recoger","Cliente (no recoge)","Tienda o proveedor"),"")</f>
        <v/>
      </c>
      <c r="P207" s="13" t="str">
        <f aca="false">IF(A207="","",COUNTIF(Incidencias!$B$2:$B$151,A207))</f>
        <v/>
      </c>
      <c r="Q207" s="13" t="str">
        <f aca="false">IF(A207="","",COUNTIFS(Incidencias!$B$2:$B$151,A207,Incidencias!$F$2:$F$151,"Abierta"))</f>
        <v/>
      </c>
      <c r="R207" s="21" t="str">
        <f aca="false">IF(L207="Sí",H207-I207,IF(A207="","",0))</f>
        <v/>
      </c>
      <c r="S207" s="13" t="str">
        <f aca="false">IF(AND(J207="Entregado",F207&lt;&gt;"",G207&lt;&gt;""),IF(G207&lt;=F207,"Sí","No"),"")</f>
        <v/>
      </c>
      <c r="T207" s="13" t="str">
        <f aca="false">IF(A207="","",IF(K207="Cliente no registrado","Cliente sin dar de alta",IF(F207="","Falta fecha prevista",IF(AND(J207="Entregado",G207=""),"Entregado sin fecha de entrega",IF(ISNA(MATCH(J207,Inicio!$Z$1:$Z$6,0)),"Estado no reconocido",IF(F207&lt;C207,"Prevista anterior al pedido",IF(AND(G207&lt;&gt;"",G207&lt;C207),"Entrega anterior al pedido","")))))))</f>
        <v/>
      </c>
      <c r="U207" s="13" t="str">
        <f aca="false">IF(L207&lt;&gt;"Sí","",IF(M207="Dato pendiente","Poner fecha prevista y avisar al cliente",IF(M207="En plazo","Seguimiento normal",IF(J207="Listo para recoger","Recordar la recogida al cliente",IF(J207="Esperando pieza","Pedir fecha al proveedor y avisar al cliente",IF(J207="En taller","Revisar con el taller","Confirmar el pedido con el proveedor"))))))</f>
        <v/>
      </c>
      <c r="V207" s="29" t="str">
        <f aca="false">IF(M207="Dato pendiente",1000+ROW()/10000,IF(M207="Fuera de plazo",N207+ROW()/10000,""))</f>
        <v/>
      </c>
      <c r="W207" s="30" t="str">
        <f aca="false">IF(T207="","",ROW())</f>
        <v/>
      </c>
    </row>
    <row r="208" customFormat="false" ht="15" hidden="false" customHeight="false" outlineLevel="0" collapsed="false">
      <c r="A208" s="13"/>
      <c r="B208" s="13"/>
      <c r="C208" s="28"/>
      <c r="D208" s="13"/>
      <c r="E208" s="13"/>
      <c r="F208" s="28"/>
      <c r="G208" s="28"/>
      <c r="H208" s="21"/>
      <c r="I208" s="21"/>
      <c r="J208" s="13"/>
      <c r="K208" s="13" t="str">
        <f aca="false">IF(A208="","",IFERROR(INDEX(Clientes!$B$2:$B$200,MATCH(B208,Clientes!$A$2:$A$200,0)),"Cliente no registrado"))</f>
        <v/>
      </c>
      <c r="L208" s="13" t="str">
        <f aca="false">IF(A208="","",IF(OR(J208="Entregado",J208="Anulado"),"No","Sí"))</f>
        <v/>
      </c>
      <c r="M208" s="13" t="str">
        <f aca="false">IF(A208="","",IF(J208="Entregado","Entregado",IF(J208="Anulado","Anulado",IF(F208="","Dato pendiente",IF(F208&lt;Control!$C$4,"Fuera de plazo","En plazo")))))</f>
        <v/>
      </c>
      <c r="N208" s="13" t="str">
        <f aca="false">IF(M208="Fuera de plazo",Control!$C$4-F208,"")</f>
        <v/>
      </c>
      <c r="O208" s="13" t="str">
        <f aca="false">IF(M208="Fuera de plazo",IF(J208="Listo para recoger","Cliente (no recoge)","Tienda o proveedor"),"")</f>
        <v/>
      </c>
      <c r="P208" s="13" t="str">
        <f aca="false">IF(A208="","",COUNTIF(Incidencias!$B$2:$B$151,A208))</f>
        <v/>
      </c>
      <c r="Q208" s="13" t="str">
        <f aca="false">IF(A208="","",COUNTIFS(Incidencias!$B$2:$B$151,A208,Incidencias!$F$2:$F$151,"Abierta"))</f>
        <v/>
      </c>
      <c r="R208" s="21" t="str">
        <f aca="false">IF(L208="Sí",H208-I208,IF(A208="","",0))</f>
        <v/>
      </c>
      <c r="S208" s="13" t="str">
        <f aca="false">IF(AND(J208="Entregado",F208&lt;&gt;"",G208&lt;&gt;""),IF(G208&lt;=F208,"Sí","No"),"")</f>
        <v/>
      </c>
      <c r="T208" s="13" t="str">
        <f aca="false">IF(A208="","",IF(K208="Cliente no registrado","Cliente sin dar de alta",IF(F208="","Falta fecha prevista",IF(AND(J208="Entregado",G208=""),"Entregado sin fecha de entrega",IF(ISNA(MATCH(J208,Inicio!$Z$1:$Z$6,0)),"Estado no reconocido",IF(F208&lt;C208,"Prevista anterior al pedido",IF(AND(G208&lt;&gt;"",G208&lt;C208),"Entrega anterior al pedido","")))))))</f>
        <v/>
      </c>
      <c r="U208" s="13" t="str">
        <f aca="false">IF(L208&lt;&gt;"Sí","",IF(M208="Dato pendiente","Poner fecha prevista y avisar al cliente",IF(M208="En plazo","Seguimiento normal",IF(J208="Listo para recoger","Recordar la recogida al cliente",IF(J208="Esperando pieza","Pedir fecha al proveedor y avisar al cliente",IF(J208="En taller","Revisar con el taller","Confirmar el pedido con el proveedor"))))))</f>
        <v/>
      </c>
      <c r="V208" s="29" t="str">
        <f aca="false">IF(M208="Dato pendiente",1000+ROW()/10000,IF(M208="Fuera de plazo",N208+ROW()/10000,""))</f>
        <v/>
      </c>
      <c r="W208" s="30" t="str">
        <f aca="false">IF(T208="","",ROW())</f>
        <v/>
      </c>
    </row>
    <row r="209" customFormat="false" ht="15" hidden="false" customHeight="false" outlineLevel="0" collapsed="false">
      <c r="A209" s="13"/>
      <c r="B209" s="13"/>
      <c r="C209" s="28"/>
      <c r="D209" s="13"/>
      <c r="E209" s="13"/>
      <c r="F209" s="28"/>
      <c r="G209" s="28"/>
      <c r="H209" s="21"/>
      <c r="I209" s="21"/>
      <c r="J209" s="13"/>
      <c r="K209" s="13" t="str">
        <f aca="false">IF(A209="","",IFERROR(INDEX(Clientes!$B$2:$B$200,MATCH(B209,Clientes!$A$2:$A$200,0)),"Cliente no registrado"))</f>
        <v/>
      </c>
      <c r="L209" s="13" t="str">
        <f aca="false">IF(A209="","",IF(OR(J209="Entregado",J209="Anulado"),"No","Sí"))</f>
        <v/>
      </c>
      <c r="M209" s="13" t="str">
        <f aca="false">IF(A209="","",IF(J209="Entregado","Entregado",IF(J209="Anulado","Anulado",IF(F209="","Dato pendiente",IF(F209&lt;Control!$C$4,"Fuera de plazo","En plazo")))))</f>
        <v/>
      </c>
      <c r="N209" s="13" t="str">
        <f aca="false">IF(M209="Fuera de plazo",Control!$C$4-F209,"")</f>
        <v/>
      </c>
      <c r="O209" s="13" t="str">
        <f aca="false">IF(M209="Fuera de plazo",IF(J209="Listo para recoger","Cliente (no recoge)","Tienda o proveedor"),"")</f>
        <v/>
      </c>
      <c r="P209" s="13" t="str">
        <f aca="false">IF(A209="","",COUNTIF(Incidencias!$B$2:$B$151,A209))</f>
        <v/>
      </c>
      <c r="Q209" s="13" t="str">
        <f aca="false">IF(A209="","",COUNTIFS(Incidencias!$B$2:$B$151,A209,Incidencias!$F$2:$F$151,"Abierta"))</f>
        <v/>
      </c>
      <c r="R209" s="21" t="str">
        <f aca="false">IF(L209="Sí",H209-I209,IF(A209="","",0))</f>
        <v/>
      </c>
      <c r="S209" s="13" t="str">
        <f aca="false">IF(AND(J209="Entregado",F209&lt;&gt;"",G209&lt;&gt;""),IF(G209&lt;=F209,"Sí","No"),"")</f>
        <v/>
      </c>
      <c r="T209" s="13" t="str">
        <f aca="false">IF(A209="","",IF(K209="Cliente no registrado","Cliente sin dar de alta",IF(F209="","Falta fecha prevista",IF(AND(J209="Entregado",G209=""),"Entregado sin fecha de entrega",IF(ISNA(MATCH(J209,Inicio!$Z$1:$Z$6,0)),"Estado no reconocido",IF(F209&lt;C209,"Prevista anterior al pedido",IF(AND(G209&lt;&gt;"",G209&lt;C209),"Entrega anterior al pedido","")))))))</f>
        <v/>
      </c>
      <c r="U209" s="13" t="str">
        <f aca="false">IF(L209&lt;&gt;"Sí","",IF(M209="Dato pendiente","Poner fecha prevista y avisar al cliente",IF(M209="En plazo","Seguimiento normal",IF(J209="Listo para recoger","Recordar la recogida al cliente",IF(J209="Esperando pieza","Pedir fecha al proveedor y avisar al cliente",IF(J209="En taller","Revisar con el taller","Confirmar el pedido con el proveedor"))))))</f>
        <v/>
      </c>
      <c r="V209" s="29" t="str">
        <f aca="false">IF(M209="Dato pendiente",1000+ROW()/10000,IF(M209="Fuera de plazo",N209+ROW()/10000,""))</f>
        <v/>
      </c>
      <c r="W209" s="30" t="str">
        <f aca="false">IF(T209="","",ROW())</f>
        <v/>
      </c>
    </row>
    <row r="210" customFormat="false" ht="15" hidden="false" customHeight="false" outlineLevel="0" collapsed="false">
      <c r="A210" s="13"/>
      <c r="B210" s="13"/>
      <c r="C210" s="28"/>
      <c r="D210" s="13"/>
      <c r="E210" s="13"/>
      <c r="F210" s="28"/>
      <c r="G210" s="28"/>
      <c r="H210" s="21"/>
      <c r="I210" s="21"/>
      <c r="J210" s="13"/>
      <c r="K210" s="13" t="str">
        <f aca="false">IF(A210="","",IFERROR(INDEX(Clientes!$B$2:$B$200,MATCH(B210,Clientes!$A$2:$A$200,0)),"Cliente no registrado"))</f>
        <v/>
      </c>
      <c r="L210" s="13" t="str">
        <f aca="false">IF(A210="","",IF(OR(J210="Entregado",J210="Anulado"),"No","Sí"))</f>
        <v/>
      </c>
      <c r="M210" s="13" t="str">
        <f aca="false">IF(A210="","",IF(J210="Entregado","Entregado",IF(J210="Anulado","Anulado",IF(F210="","Dato pendiente",IF(F210&lt;Control!$C$4,"Fuera de plazo","En plazo")))))</f>
        <v/>
      </c>
      <c r="N210" s="13" t="str">
        <f aca="false">IF(M210="Fuera de plazo",Control!$C$4-F210,"")</f>
        <v/>
      </c>
      <c r="O210" s="13" t="str">
        <f aca="false">IF(M210="Fuera de plazo",IF(J210="Listo para recoger","Cliente (no recoge)","Tienda o proveedor"),"")</f>
        <v/>
      </c>
      <c r="P210" s="13" t="str">
        <f aca="false">IF(A210="","",COUNTIF(Incidencias!$B$2:$B$151,A210))</f>
        <v/>
      </c>
      <c r="Q210" s="13" t="str">
        <f aca="false">IF(A210="","",COUNTIFS(Incidencias!$B$2:$B$151,A210,Incidencias!$F$2:$F$151,"Abierta"))</f>
        <v/>
      </c>
      <c r="R210" s="21" t="str">
        <f aca="false">IF(L210="Sí",H210-I210,IF(A210="","",0))</f>
        <v/>
      </c>
      <c r="S210" s="13" t="str">
        <f aca="false">IF(AND(J210="Entregado",F210&lt;&gt;"",G210&lt;&gt;""),IF(G210&lt;=F210,"Sí","No"),"")</f>
        <v/>
      </c>
      <c r="T210" s="13" t="str">
        <f aca="false">IF(A210="","",IF(K210="Cliente no registrado","Cliente sin dar de alta",IF(F210="","Falta fecha prevista",IF(AND(J210="Entregado",G210=""),"Entregado sin fecha de entrega",IF(ISNA(MATCH(J210,Inicio!$Z$1:$Z$6,0)),"Estado no reconocido",IF(F210&lt;C210,"Prevista anterior al pedido",IF(AND(G210&lt;&gt;"",G210&lt;C210),"Entrega anterior al pedido","")))))))</f>
        <v/>
      </c>
      <c r="U210" s="13" t="str">
        <f aca="false">IF(L210&lt;&gt;"Sí","",IF(M210="Dato pendiente","Poner fecha prevista y avisar al cliente",IF(M210="En plazo","Seguimiento normal",IF(J210="Listo para recoger","Recordar la recogida al cliente",IF(J210="Esperando pieza","Pedir fecha al proveedor y avisar al cliente",IF(J210="En taller","Revisar con el taller","Confirmar el pedido con el proveedor"))))))</f>
        <v/>
      </c>
      <c r="V210" s="29" t="str">
        <f aca="false">IF(M210="Dato pendiente",1000+ROW()/10000,IF(M210="Fuera de plazo",N210+ROW()/10000,""))</f>
        <v/>
      </c>
      <c r="W210" s="30" t="str">
        <f aca="false">IF(T210="","",ROW())</f>
        <v/>
      </c>
    </row>
    <row r="211" customFormat="false" ht="15" hidden="false" customHeight="false" outlineLevel="0" collapsed="false">
      <c r="A211" s="13"/>
      <c r="B211" s="13"/>
      <c r="C211" s="28"/>
      <c r="D211" s="13"/>
      <c r="E211" s="13"/>
      <c r="F211" s="28"/>
      <c r="G211" s="28"/>
      <c r="H211" s="21"/>
      <c r="I211" s="21"/>
      <c r="J211" s="13"/>
      <c r="K211" s="13" t="str">
        <f aca="false">IF(A211="","",IFERROR(INDEX(Clientes!$B$2:$B$200,MATCH(B211,Clientes!$A$2:$A$200,0)),"Cliente no registrado"))</f>
        <v/>
      </c>
      <c r="L211" s="13" t="str">
        <f aca="false">IF(A211="","",IF(OR(J211="Entregado",J211="Anulado"),"No","Sí"))</f>
        <v/>
      </c>
      <c r="M211" s="13" t="str">
        <f aca="false">IF(A211="","",IF(J211="Entregado","Entregado",IF(J211="Anulado","Anulado",IF(F211="","Dato pendiente",IF(F211&lt;Control!$C$4,"Fuera de plazo","En plazo")))))</f>
        <v/>
      </c>
      <c r="N211" s="13" t="str">
        <f aca="false">IF(M211="Fuera de plazo",Control!$C$4-F211,"")</f>
        <v/>
      </c>
      <c r="O211" s="13" t="str">
        <f aca="false">IF(M211="Fuera de plazo",IF(J211="Listo para recoger","Cliente (no recoge)","Tienda o proveedor"),"")</f>
        <v/>
      </c>
      <c r="P211" s="13" t="str">
        <f aca="false">IF(A211="","",COUNTIF(Incidencias!$B$2:$B$151,A211))</f>
        <v/>
      </c>
      <c r="Q211" s="13" t="str">
        <f aca="false">IF(A211="","",COUNTIFS(Incidencias!$B$2:$B$151,A211,Incidencias!$F$2:$F$151,"Abierta"))</f>
        <v/>
      </c>
      <c r="R211" s="21" t="str">
        <f aca="false">IF(L211="Sí",H211-I211,IF(A211="","",0))</f>
        <v/>
      </c>
      <c r="S211" s="13" t="str">
        <f aca="false">IF(AND(J211="Entregado",F211&lt;&gt;"",G211&lt;&gt;""),IF(G211&lt;=F211,"Sí","No"),"")</f>
        <v/>
      </c>
      <c r="T211" s="13" t="str">
        <f aca="false">IF(A211="","",IF(K211="Cliente no registrado","Cliente sin dar de alta",IF(F211="","Falta fecha prevista",IF(AND(J211="Entregado",G211=""),"Entregado sin fecha de entrega",IF(ISNA(MATCH(J211,Inicio!$Z$1:$Z$6,0)),"Estado no reconocido",IF(F211&lt;C211,"Prevista anterior al pedido",IF(AND(G211&lt;&gt;"",G211&lt;C211),"Entrega anterior al pedido","")))))))</f>
        <v/>
      </c>
      <c r="U211" s="13" t="str">
        <f aca="false">IF(L211&lt;&gt;"Sí","",IF(M211="Dato pendiente","Poner fecha prevista y avisar al cliente",IF(M211="En plazo","Seguimiento normal",IF(J211="Listo para recoger","Recordar la recogida al cliente",IF(J211="Esperando pieza","Pedir fecha al proveedor y avisar al cliente",IF(J211="En taller","Revisar con el taller","Confirmar el pedido con el proveedor"))))))</f>
        <v/>
      </c>
      <c r="V211" s="29" t="str">
        <f aca="false">IF(M211="Dato pendiente",1000+ROW()/10000,IF(M211="Fuera de plazo",N211+ROW()/10000,""))</f>
        <v/>
      </c>
      <c r="W211" s="30" t="str">
        <f aca="false">IF(T211="","",ROW())</f>
        <v/>
      </c>
    </row>
    <row r="212" customFormat="false" ht="15" hidden="false" customHeight="false" outlineLevel="0" collapsed="false">
      <c r="A212" s="13"/>
      <c r="B212" s="13"/>
      <c r="C212" s="28"/>
      <c r="D212" s="13"/>
      <c r="E212" s="13"/>
      <c r="F212" s="28"/>
      <c r="G212" s="28"/>
      <c r="H212" s="21"/>
      <c r="I212" s="21"/>
      <c r="J212" s="13"/>
      <c r="K212" s="13" t="str">
        <f aca="false">IF(A212="","",IFERROR(INDEX(Clientes!$B$2:$B$200,MATCH(B212,Clientes!$A$2:$A$200,0)),"Cliente no registrado"))</f>
        <v/>
      </c>
      <c r="L212" s="13" t="str">
        <f aca="false">IF(A212="","",IF(OR(J212="Entregado",J212="Anulado"),"No","Sí"))</f>
        <v/>
      </c>
      <c r="M212" s="13" t="str">
        <f aca="false">IF(A212="","",IF(J212="Entregado","Entregado",IF(J212="Anulado","Anulado",IF(F212="","Dato pendiente",IF(F212&lt;Control!$C$4,"Fuera de plazo","En plazo")))))</f>
        <v/>
      </c>
      <c r="N212" s="13" t="str">
        <f aca="false">IF(M212="Fuera de plazo",Control!$C$4-F212,"")</f>
        <v/>
      </c>
      <c r="O212" s="13" t="str">
        <f aca="false">IF(M212="Fuera de plazo",IF(J212="Listo para recoger","Cliente (no recoge)","Tienda o proveedor"),"")</f>
        <v/>
      </c>
      <c r="P212" s="13" t="str">
        <f aca="false">IF(A212="","",COUNTIF(Incidencias!$B$2:$B$151,A212))</f>
        <v/>
      </c>
      <c r="Q212" s="13" t="str">
        <f aca="false">IF(A212="","",COUNTIFS(Incidencias!$B$2:$B$151,A212,Incidencias!$F$2:$F$151,"Abierta"))</f>
        <v/>
      </c>
      <c r="R212" s="21" t="str">
        <f aca="false">IF(L212="Sí",H212-I212,IF(A212="","",0))</f>
        <v/>
      </c>
      <c r="S212" s="13" t="str">
        <f aca="false">IF(AND(J212="Entregado",F212&lt;&gt;"",G212&lt;&gt;""),IF(G212&lt;=F212,"Sí","No"),"")</f>
        <v/>
      </c>
      <c r="T212" s="13" t="str">
        <f aca="false">IF(A212="","",IF(K212="Cliente no registrado","Cliente sin dar de alta",IF(F212="","Falta fecha prevista",IF(AND(J212="Entregado",G212=""),"Entregado sin fecha de entrega",IF(ISNA(MATCH(J212,Inicio!$Z$1:$Z$6,0)),"Estado no reconocido",IF(F212&lt;C212,"Prevista anterior al pedido",IF(AND(G212&lt;&gt;"",G212&lt;C212),"Entrega anterior al pedido","")))))))</f>
        <v/>
      </c>
      <c r="U212" s="13" t="str">
        <f aca="false">IF(L212&lt;&gt;"Sí","",IF(M212="Dato pendiente","Poner fecha prevista y avisar al cliente",IF(M212="En plazo","Seguimiento normal",IF(J212="Listo para recoger","Recordar la recogida al cliente",IF(J212="Esperando pieza","Pedir fecha al proveedor y avisar al cliente",IF(J212="En taller","Revisar con el taller","Confirmar el pedido con el proveedor"))))))</f>
        <v/>
      </c>
      <c r="V212" s="29" t="str">
        <f aca="false">IF(M212="Dato pendiente",1000+ROW()/10000,IF(M212="Fuera de plazo",N212+ROW()/10000,""))</f>
        <v/>
      </c>
      <c r="W212" s="30" t="str">
        <f aca="false">IF(T212="","",ROW())</f>
        <v/>
      </c>
    </row>
    <row r="213" customFormat="false" ht="15" hidden="false" customHeight="false" outlineLevel="0" collapsed="false">
      <c r="A213" s="13"/>
      <c r="B213" s="13"/>
      <c r="C213" s="28"/>
      <c r="D213" s="13"/>
      <c r="E213" s="13"/>
      <c r="F213" s="28"/>
      <c r="G213" s="28"/>
      <c r="H213" s="21"/>
      <c r="I213" s="21"/>
      <c r="J213" s="13"/>
      <c r="K213" s="13" t="str">
        <f aca="false">IF(A213="","",IFERROR(INDEX(Clientes!$B$2:$B$200,MATCH(B213,Clientes!$A$2:$A$200,0)),"Cliente no registrado"))</f>
        <v/>
      </c>
      <c r="L213" s="13" t="str">
        <f aca="false">IF(A213="","",IF(OR(J213="Entregado",J213="Anulado"),"No","Sí"))</f>
        <v/>
      </c>
      <c r="M213" s="13" t="str">
        <f aca="false">IF(A213="","",IF(J213="Entregado","Entregado",IF(J213="Anulado","Anulado",IF(F213="","Dato pendiente",IF(F213&lt;Control!$C$4,"Fuera de plazo","En plazo")))))</f>
        <v/>
      </c>
      <c r="N213" s="13" t="str">
        <f aca="false">IF(M213="Fuera de plazo",Control!$C$4-F213,"")</f>
        <v/>
      </c>
      <c r="O213" s="13" t="str">
        <f aca="false">IF(M213="Fuera de plazo",IF(J213="Listo para recoger","Cliente (no recoge)","Tienda o proveedor"),"")</f>
        <v/>
      </c>
      <c r="P213" s="13" t="str">
        <f aca="false">IF(A213="","",COUNTIF(Incidencias!$B$2:$B$151,A213))</f>
        <v/>
      </c>
      <c r="Q213" s="13" t="str">
        <f aca="false">IF(A213="","",COUNTIFS(Incidencias!$B$2:$B$151,A213,Incidencias!$F$2:$F$151,"Abierta"))</f>
        <v/>
      </c>
      <c r="R213" s="21" t="str">
        <f aca="false">IF(L213="Sí",H213-I213,IF(A213="","",0))</f>
        <v/>
      </c>
      <c r="S213" s="13" t="str">
        <f aca="false">IF(AND(J213="Entregado",F213&lt;&gt;"",G213&lt;&gt;""),IF(G213&lt;=F213,"Sí","No"),"")</f>
        <v/>
      </c>
      <c r="T213" s="13" t="str">
        <f aca="false">IF(A213="","",IF(K213="Cliente no registrado","Cliente sin dar de alta",IF(F213="","Falta fecha prevista",IF(AND(J213="Entregado",G213=""),"Entregado sin fecha de entrega",IF(ISNA(MATCH(J213,Inicio!$Z$1:$Z$6,0)),"Estado no reconocido",IF(F213&lt;C213,"Prevista anterior al pedido",IF(AND(G213&lt;&gt;"",G213&lt;C213),"Entrega anterior al pedido","")))))))</f>
        <v/>
      </c>
      <c r="U213" s="13" t="str">
        <f aca="false">IF(L213&lt;&gt;"Sí","",IF(M213="Dato pendiente","Poner fecha prevista y avisar al cliente",IF(M213="En plazo","Seguimiento normal",IF(J213="Listo para recoger","Recordar la recogida al cliente",IF(J213="Esperando pieza","Pedir fecha al proveedor y avisar al cliente",IF(J213="En taller","Revisar con el taller","Confirmar el pedido con el proveedor"))))))</f>
        <v/>
      </c>
      <c r="V213" s="29" t="str">
        <f aca="false">IF(M213="Dato pendiente",1000+ROW()/10000,IF(M213="Fuera de plazo",N213+ROW()/10000,""))</f>
        <v/>
      </c>
      <c r="W213" s="30" t="str">
        <f aca="false">IF(T213="","",ROW())</f>
        <v/>
      </c>
    </row>
    <row r="214" customFormat="false" ht="15" hidden="false" customHeight="false" outlineLevel="0" collapsed="false">
      <c r="A214" s="13"/>
      <c r="B214" s="13"/>
      <c r="C214" s="28"/>
      <c r="D214" s="13"/>
      <c r="E214" s="13"/>
      <c r="F214" s="28"/>
      <c r="G214" s="28"/>
      <c r="H214" s="21"/>
      <c r="I214" s="21"/>
      <c r="J214" s="13"/>
      <c r="K214" s="13" t="str">
        <f aca="false">IF(A214="","",IFERROR(INDEX(Clientes!$B$2:$B$200,MATCH(B214,Clientes!$A$2:$A$200,0)),"Cliente no registrado"))</f>
        <v/>
      </c>
      <c r="L214" s="13" t="str">
        <f aca="false">IF(A214="","",IF(OR(J214="Entregado",J214="Anulado"),"No","Sí"))</f>
        <v/>
      </c>
      <c r="M214" s="13" t="str">
        <f aca="false">IF(A214="","",IF(J214="Entregado","Entregado",IF(J214="Anulado","Anulado",IF(F214="","Dato pendiente",IF(F214&lt;Control!$C$4,"Fuera de plazo","En plazo")))))</f>
        <v/>
      </c>
      <c r="N214" s="13" t="str">
        <f aca="false">IF(M214="Fuera de plazo",Control!$C$4-F214,"")</f>
        <v/>
      </c>
      <c r="O214" s="13" t="str">
        <f aca="false">IF(M214="Fuera de plazo",IF(J214="Listo para recoger","Cliente (no recoge)","Tienda o proveedor"),"")</f>
        <v/>
      </c>
      <c r="P214" s="13" t="str">
        <f aca="false">IF(A214="","",COUNTIF(Incidencias!$B$2:$B$151,A214))</f>
        <v/>
      </c>
      <c r="Q214" s="13" t="str">
        <f aca="false">IF(A214="","",COUNTIFS(Incidencias!$B$2:$B$151,A214,Incidencias!$F$2:$F$151,"Abierta"))</f>
        <v/>
      </c>
      <c r="R214" s="21" t="str">
        <f aca="false">IF(L214="Sí",H214-I214,IF(A214="","",0))</f>
        <v/>
      </c>
      <c r="S214" s="13" t="str">
        <f aca="false">IF(AND(J214="Entregado",F214&lt;&gt;"",G214&lt;&gt;""),IF(G214&lt;=F214,"Sí","No"),"")</f>
        <v/>
      </c>
      <c r="T214" s="13" t="str">
        <f aca="false">IF(A214="","",IF(K214="Cliente no registrado","Cliente sin dar de alta",IF(F214="","Falta fecha prevista",IF(AND(J214="Entregado",G214=""),"Entregado sin fecha de entrega",IF(ISNA(MATCH(J214,Inicio!$Z$1:$Z$6,0)),"Estado no reconocido",IF(F214&lt;C214,"Prevista anterior al pedido",IF(AND(G214&lt;&gt;"",G214&lt;C214),"Entrega anterior al pedido","")))))))</f>
        <v/>
      </c>
      <c r="U214" s="13" t="str">
        <f aca="false">IF(L214&lt;&gt;"Sí","",IF(M214="Dato pendiente","Poner fecha prevista y avisar al cliente",IF(M214="En plazo","Seguimiento normal",IF(J214="Listo para recoger","Recordar la recogida al cliente",IF(J214="Esperando pieza","Pedir fecha al proveedor y avisar al cliente",IF(J214="En taller","Revisar con el taller","Confirmar el pedido con el proveedor"))))))</f>
        <v/>
      </c>
      <c r="V214" s="29" t="str">
        <f aca="false">IF(M214="Dato pendiente",1000+ROW()/10000,IF(M214="Fuera de plazo",N214+ROW()/10000,""))</f>
        <v/>
      </c>
      <c r="W214" s="30" t="str">
        <f aca="false">IF(T214="","",ROW())</f>
        <v/>
      </c>
    </row>
    <row r="215" customFormat="false" ht="15" hidden="false" customHeight="false" outlineLevel="0" collapsed="false">
      <c r="A215" s="13"/>
      <c r="B215" s="13"/>
      <c r="C215" s="28"/>
      <c r="D215" s="13"/>
      <c r="E215" s="13"/>
      <c r="F215" s="28"/>
      <c r="G215" s="28"/>
      <c r="H215" s="21"/>
      <c r="I215" s="21"/>
      <c r="J215" s="13"/>
      <c r="K215" s="13" t="str">
        <f aca="false">IF(A215="","",IFERROR(INDEX(Clientes!$B$2:$B$200,MATCH(B215,Clientes!$A$2:$A$200,0)),"Cliente no registrado"))</f>
        <v/>
      </c>
      <c r="L215" s="13" t="str">
        <f aca="false">IF(A215="","",IF(OR(J215="Entregado",J215="Anulado"),"No","Sí"))</f>
        <v/>
      </c>
      <c r="M215" s="13" t="str">
        <f aca="false">IF(A215="","",IF(J215="Entregado","Entregado",IF(J215="Anulado","Anulado",IF(F215="","Dato pendiente",IF(F215&lt;Control!$C$4,"Fuera de plazo","En plazo")))))</f>
        <v/>
      </c>
      <c r="N215" s="13" t="str">
        <f aca="false">IF(M215="Fuera de plazo",Control!$C$4-F215,"")</f>
        <v/>
      </c>
      <c r="O215" s="13" t="str">
        <f aca="false">IF(M215="Fuera de plazo",IF(J215="Listo para recoger","Cliente (no recoge)","Tienda o proveedor"),"")</f>
        <v/>
      </c>
      <c r="P215" s="13" t="str">
        <f aca="false">IF(A215="","",COUNTIF(Incidencias!$B$2:$B$151,A215))</f>
        <v/>
      </c>
      <c r="Q215" s="13" t="str">
        <f aca="false">IF(A215="","",COUNTIFS(Incidencias!$B$2:$B$151,A215,Incidencias!$F$2:$F$151,"Abierta"))</f>
        <v/>
      </c>
      <c r="R215" s="21" t="str">
        <f aca="false">IF(L215="Sí",H215-I215,IF(A215="","",0))</f>
        <v/>
      </c>
      <c r="S215" s="13" t="str">
        <f aca="false">IF(AND(J215="Entregado",F215&lt;&gt;"",G215&lt;&gt;""),IF(G215&lt;=F215,"Sí","No"),"")</f>
        <v/>
      </c>
      <c r="T215" s="13" t="str">
        <f aca="false">IF(A215="","",IF(K215="Cliente no registrado","Cliente sin dar de alta",IF(F215="","Falta fecha prevista",IF(AND(J215="Entregado",G215=""),"Entregado sin fecha de entrega",IF(ISNA(MATCH(J215,Inicio!$Z$1:$Z$6,0)),"Estado no reconocido",IF(F215&lt;C215,"Prevista anterior al pedido",IF(AND(G215&lt;&gt;"",G215&lt;C215),"Entrega anterior al pedido","")))))))</f>
        <v/>
      </c>
      <c r="U215" s="13" t="str">
        <f aca="false">IF(L215&lt;&gt;"Sí","",IF(M215="Dato pendiente","Poner fecha prevista y avisar al cliente",IF(M215="En plazo","Seguimiento normal",IF(J215="Listo para recoger","Recordar la recogida al cliente",IF(J215="Esperando pieza","Pedir fecha al proveedor y avisar al cliente",IF(J215="En taller","Revisar con el taller","Confirmar el pedido con el proveedor"))))))</f>
        <v/>
      </c>
      <c r="V215" s="29" t="str">
        <f aca="false">IF(M215="Dato pendiente",1000+ROW()/10000,IF(M215="Fuera de plazo",N215+ROW()/10000,""))</f>
        <v/>
      </c>
      <c r="W215" s="30" t="str">
        <f aca="false">IF(T215="","",ROW())</f>
        <v/>
      </c>
    </row>
    <row r="216" customFormat="false" ht="15" hidden="false" customHeight="false" outlineLevel="0" collapsed="false">
      <c r="A216" s="13"/>
      <c r="B216" s="13"/>
      <c r="C216" s="28"/>
      <c r="D216" s="13"/>
      <c r="E216" s="13"/>
      <c r="F216" s="28"/>
      <c r="G216" s="28"/>
      <c r="H216" s="21"/>
      <c r="I216" s="21"/>
      <c r="J216" s="13"/>
      <c r="K216" s="13" t="str">
        <f aca="false">IF(A216="","",IFERROR(INDEX(Clientes!$B$2:$B$200,MATCH(B216,Clientes!$A$2:$A$200,0)),"Cliente no registrado"))</f>
        <v/>
      </c>
      <c r="L216" s="13" t="str">
        <f aca="false">IF(A216="","",IF(OR(J216="Entregado",J216="Anulado"),"No","Sí"))</f>
        <v/>
      </c>
      <c r="M216" s="13" t="str">
        <f aca="false">IF(A216="","",IF(J216="Entregado","Entregado",IF(J216="Anulado","Anulado",IF(F216="","Dato pendiente",IF(F216&lt;Control!$C$4,"Fuera de plazo","En plazo")))))</f>
        <v/>
      </c>
      <c r="N216" s="13" t="str">
        <f aca="false">IF(M216="Fuera de plazo",Control!$C$4-F216,"")</f>
        <v/>
      </c>
      <c r="O216" s="13" t="str">
        <f aca="false">IF(M216="Fuera de plazo",IF(J216="Listo para recoger","Cliente (no recoge)","Tienda o proveedor"),"")</f>
        <v/>
      </c>
      <c r="P216" s="13" t="str">
        <f aca="false">IF(A216="","",COUNTIF(Incidencias!$B$2:$B$151,A216))</f>
        <v/>
      </c>
      <c r="Q216" s="13" t="str">
        <f aca="false">IF(A216="","",COUNTIFS(Incidencias!$B$2:$B$151,A216,Incidencias!$F$2:$F$151,"Abierta"))</f>
        <v/>
      </c>
      <c r="R216" s="21" t="str">
        <f aca="false">IF(L216="Sí",H216-I216,IF(A216="","",0))</f>
        <v/>
      </c>
      <c r="S216" s="13" t="str">
        <f aca="false">IF(AND(J216="Entregado",F216&lt;&gt;"",G216&lt;&gt;""),IF(G216&lt;=F216,"Sí","No"),"")</f>
        <v/>
      </c>
      <c r="T216" s="13" t="str">
        <f aca="false">IF(A216="","",IF(K216="Cliente no registrado","Cliente sin dar de alta",IF(F216="","Falta fecha prevista",IF(AND(J216="Entregado",G216=""),"Entregado sin fecha de entrega",IF(ISNA(MATCH(J216,Inicio!$Z$1:$Z$6,0)),"Estado no reconocido",IF(F216&lt;C216,"Prevista anterior al pedido",IF(AND(G216&lt;&gt;"",G216&lt;C216),"Entrega anterior al pedido","")))))))</f>
        <v/>
      </c>
      <c r="U216" s="13" t="str">
        <f aca="false">IF(L216&lt;&gt;"Sí","",IF(M216="Dato pendiente","Poner fecha prevista y avisar al cliente",IF(M216="En plazo","Seguimiento normal",IF(J216="Listo para recoger","Recordar la recogida al cliente",IF(J216="Esperando pieza","Pedir fecha al proveedor y avisar al cliente",IF(J216="En taller","Revisar con el taller","Confirmar el pedido con el proveedor"))))))</f>
        <v/>
      </c>
      <c r="V216" s="29" t="str">
        <f aca="false">IF(M216="Dato pendiente",1000+ROW()/10000,IF(M216="Fuera de plazo",N216+ROW()/10000,""))</f>
        <v/>
      </c>
      <c r="W216" s="30" t="str">
        <f aca="false">IF(T216="","",ROW())</f>
        <v/>
      </c>
    </row>
    <row r="217" customFormat="false" ht="15" hidden="false" customHeight="false" outlineLevel="0" collapsed="false">
      <c r="A217" s="13"/>
      <c r="B217" s="13"/>
      <c r="C217" s="28"/>
      <c r="D217" s="13"/>
      <c r="E217" s="13"/>
      <c r="F217" s="28"/>
      <c r="G217" s="28"/>
      <c r="H217" s="21"/>
      <c r="I217" s="21"/>
      <c r="J217" s="13"/>
      <c r="K217" s="13" t="str">
        <f aca="false">IF(A217="","",IFERROR(INDEX(Clientes!$B$2:$B$200,MATCH(B217,Clientes!$A$2:$A$200,0)),"Cliente no registrado"))</f>
        <v/>
      </c>
      <c r="L217" s="13" t="str">
        <f aca="false">IF(A217="","",IF(OR(J217="Entregado",J217="Anulado"),"No","Sí"))</f>
        <v/>
      </c>
      <c r="M217" s="13" t="str">
        <f aca="false">IF(A217="","",IF(J217="Entregado","Entregado",IF(J217="Anulado","Anulado",IF(F217="","Dato pendiente",IF(F217&lt;Control!$C$4,"Fuera de plazo","En plazo")))))</f>
        <v/>
      </c>
      <c r="N217" s="13" t="str">
        <f aca="false">IF(M217="Fuera de plazo",Control!$C$4-F217,"")</f>
        <v/>
      </c>
      <c r="O217" s="13" t="str">
        <f aca="false">IF(M217="Fuera de plazo",IF(J217="Listo para recoger","Cliente (no recoge)","Tienda o proveedor"),"")</f>
        <v/>
      </c>
      <c r="P217" s="13" t="str">
        <f aca="false">IF(A217="","",COUNTIF(Incidencias!$B$2:$B$151,A217))</f>
        <v/>
      </c>
      <c r="Q217" s="13" t="str">
        <f aca="false">IF(A217="","",COUNTIFS(Incidencias!$B$2:$B$151,A217,Incidencias!$F$2:$F$151,"Abierta"))</f>
        <v/>
      </c>
      <c r="R217" s="21" t="str">
        <f aca="false">IF(L217="Sí",H217-I217,IF(A217="","",0))</f>
        <v/>
      </c>
      <c r="S217" s="13" t="str">
        <f aca="false">IF(AND(J217="Entregado",F217&lt;&gt;"",G217&lt;&gt;""),IF(G217&lt;=F217,"Sí","No"),"")</f>
        <v/>
      </c>
      <c r="T217" s="13" t="str">
        <f aca="false">IF(A217="","",IF(K217="Cliente no registrado","Cliente sin dar de alta",IF(F217="","Falta fecha prevista",IF(AND(J217="Entregado",G217=""),"Entregado sin fecha de entrega",IF(ISNA(MATCH(J217,Inicio!$Z$1:$Z$6,0)),"Estado no reconocido",IF(F217&lt;C217,"Prevista anterior al pedido",IF(AND(G217&lt;&gt;"",G217&lt;C217),"Entrega anterior al pedido","")))))))</f>
        <v/>
      </c>
      <c r="U217" s="13" t="str">
        <f aca="false">IF(L217&lt;&gt;"Sí","",IF(M217="Dato pendiente","Poner fecha prevista y avisar al cliente",IF(M217="En plazo","Seguimiento normal",IF(J217="Listo para recoger","Recordar la recogida al cliente",IF(J217="Esperando pieza","Pedir fecha al proveedor y avisar al cliente",IF(J217="En taller","Revisar con el taller","Confirmar el pedido con el proveedor"))))))</f>
        <v/>
      </c>
      <c r="V217" s="29" t="str">
        <f aca="false">IF(M217="Dato pendiente",1000+ROW()/10000,IF(M217="Fuera de plazo",N217+ROW()/10000,""))</f>
        <v/>
      </c>
      <c r="W217" s="30" t="str">
        <f aca="false">IF(T217="","",ROW())</f>
        <v/>
      </c>
    </row>
    <row r="218" customFormat="false" ht="15" hidden="false" customHeight="false" outlineLevel="0" collapsed="false">
      <c r="A218" s="13"/>
      <c r="B218" s="13"/>
      <c r="C218" s="28"/>
      <c r="D218" s="13"/>
      <c r="E218" s="13"/>
      <c r="F218" s="28"/>
      <c r="G218" s="28"/>
      <c r="H218" s="21"/>
      <c r="I218" s="21"/>
      <c r="J218" s="13"/>
      <c r="K218" s="13" t="str">
        <f aca="false">IF(A218="","",IFERROR(INDEX(Clientes!$B$2:$B$200,MATCH(B218,Clientes!$A$2:$A$200,0)),"Cliente no registrado"))</f>
        <v/>
      </c>
      <c r="L218" s="13" t="str">
        <f aca="false">IF(A218="","",IF(OR(J218="Entregado",J218="Anulado"),"No","Sí"))</f>
        <v/>
      </c>
      <c r="M218" s="13" t="str">
        <f aca="false">IF(A218="","",IF(J218="Entregado","Entregado",IF(J218="Anulado","Anulado",IF(F218="","Dato pendiente",IF(F218&lt;Control!$C$4,"Fuera de plazo","En plazo")))))</f>
        <v/>
      </c>
      <c r="N218" s="13" t="str">
        <f aca="false">IF(M218="Fuera de plazo",Control!$C$4-F218,"")</f>
        <v/>
      </c>
      <c r="O218" s="13" t="str">
        <f aca="false">IF(M218="Fuera de plazo",IF(J218="Listo para recoger","Cliente (no recoge)","Tienda o proveedor"),"")</f>
        <v/>
      </c>
      <c r="P218" s="13" t="str">
        <f aca="false">IF(A218="","",COUNTIF(Incidencias!$B$2:$B$151,A218))</f>
        <v/>
      </c>
      <c r="Q218" s="13" t="str">
        <f aca="false">IF(A218="","",COUNTIFS(Incidencias!$B$2:$B$151,A218,Incidencias!$F$2:$F$151,"Abierta"))</f>
        <v/>
      </c>
      <c r="R218" s="21" t="str">
        <f aca="false">IF(L218="Sí",H218-I218,IF(A218="","",0))</f>
        <v/>
      </c>
      <c r="S218" s="13" t="str">
        <f aca="false">IF(AND(J218="Entregado",F218&lt;&gt;"",G218&lt;&gt;""),IF(G218&lt;=F218,"Sí","No"),"")</f>
        <v/>
      </c>
      <c r="T218" s="13" t="str">
        <f aca="false">IF(A218="","",IF(K218="Cliente no registrado","Cliente sin dar de alta",IF(F218="","Falta fecha prevista",IF(AND(J218="Entregado",G218=""),"Entregado sin fecha de entrega",IF(ISNA(MATCH(J218,Inicio!$Z$1:$Z$6,0)),"Estado no reconocido",IF(F218&lt;C218,"Prevista anterior al pedido",IF(AND(G218&lt;&gt;"",G218&lt;C218),"Entrega anterior al pedido","")))))))</f>
        <v/>
      </c>
      <c r="U218" s="13" t="str">
        <f aca="false">IF(L218&lt;&gt;"Sí","",IF(M218="Dato pendiente","Poner fecha prevista y avisar al cliente",IF(M218="En plazo","Seguimiento normal",IF(J218="Listo para recoger","Recordar la recogida al cliente",IF(J218="Esperando pieza","Pedir fecha al proveedor y avisar al cliente",IF(J218="En taller","Revisar con el taller","Confirmar el pedido con el proveedor"))))))</f>
        <v/>
      </c>
      <c r="V218" s="29" t="str">
        <f aca="false">IF(M218="Dato pendiente",1000+ROW()/10000,IF(M218="Fuera de plazo",N218+ROW()/10000,""))</f>
        <v/>
      </c>
      <c r="W218" s="30" t="str">
        <f aca="false">IF(T218="","",ROW())</f>
        <v/>
      </c>
    </row>
    <row r="219" customFormat="false" ht="15" hidden="false" customHeight="false" outlineLevel="0" collapsed="false">
      <c r="A219" s="13"/>
      <c r="B219" s="13"/>
      <c r="C219" s="28"/>
      <c r="D219" s="13"/>
      <c r="E219" s="13"/>
      <c r="F219" s="28"/>
      <c r="G219" s="28"/>
      <c r="H219" s="21"/>
      <c r="I219" s="21"/>
      <c r="J219" s="13"/>
      <c r="K219" s="13" t="str">
        <f aca="false">IF(A219="","",IFERROR(INDEX(Clientes!$B$2:$B$200,MATCH(B219,Clientes!$A$2:$A$200,0)),"Cliente no registrado"))</f>
        <v/>
      </c>
      <c r="L219" s="13" t="str">
        <f aca="false">IF(A219="","",IF(OR(J219="Entregado",J219="Anulado"),"No","Sí"))</f>
        <v/>
      </c>
      <c r="M219" s="13" t="str">
        <f aca="false">IF(A219="","",IF(J219="Entregado","Entregado",IF(J219="Anulado","Anulado",IF(F219="","Dato pendiente",IF(F219&lt;Control!$C$4,"Fuera de plazo","En plazo")))))</f>
        <v/>
      </c>
      <c r="N219" s="13" t="str">
        <f aca="false">IF(M219="Fuera de plazo",Control!$C$4-F219,"")</f>
        <v/>
      </c>
      <c r="O219" s="13" t="str">
        <f aca="false">IF(M219="Fuera de plazo",IF(J219="Listo para recoger","Cliente (no recoge)","Tienda o proveedor"),"")</f>
        <v/>
      </c>
      <c r="P219" s="13" t="str">
        <f aca="false">IF(A219="","",COUNTIF(Incidencias!$B$2:$B$151,A219))</f>
        <v/>
      </c>
      <c r="Q219" s="13" t="str">
        <f aca="false">IF(A219="","",COUNTIFS(Incidencias!$B$2:$B$151,A219,Incidencias!$F$2:$F$151,"Abierta"))</f>
        <v/>
      </c>
      <c r="R219" s="21" t="str">
        <f aca="false">IF(L219="Sí",H219-I219,IF(A219="","",0))</f>
        <v/>
      </c>
      <c r="S219" s="13" t="str">
        <f aca="false">IF(AND(J219="Entregado",F219&lt;&gt;"",G219&lt;&gt;""),IF(G219&lt;=F219,"Sí","No"),"")</f>
        <v/>
      </c>
      <c r="T219" s="13" t="str">
        <f aca="false">IF(A219="","",IF(K219="Cliente no registrado","Cliente sin dar de alta",IF(F219="","Falta fecha prevista",IF(AND(J219="Entregado",G219=""),"Entregado sin fecha de entrega",IF(ISNA(MATCH(J219,Inicio!$Z$1:$Z$6,0)),"Estado no reconocido",IF(F219&lt;C219,"Prevista anterior al pedido",IF(AND(G219&lt;&gt;"",G219&lt;C219),"Entrega anterior al pedido","")))))))</f>
        <v/>
      </c>
      <c r="U219" s="13" t="str">
        <f aca="false">IF(L219&lt;&gt;"Sí","",IF(M219="Dato pendiente","Poner fecha prevista y avisar al cliente",IF(M219="En plazo","Seguimiento normal",IF(J219="Listo para recoger","Recordar la recogida al cliente",IF(J219="Esperando pieza","Pedir fecha al proveedor y avisar al cliente",IF(J219="En taller","Revisar con el taller","Confirmar el pedido con el proveedor"))))))</f>
        <v/>
      </c>
      <c r="V219" s="29" t="str">
        <f aca="false">IF(M219="Dato pendiente",1000+ROW()/10000,IF(M219="Fuera de plazo",N219+ROW()/10000,""))</f>
        <v/>
      </c>
      <c r="W219" s="30" t="str">
        <f aca="false">IF(T219="","",ROW())</f>
        <v/>
      </c>
    </row>
    <row r="220" customFormat="false" ht="15" hidden="false" customHeight="false" outlineLevel="0" collapsed="false">
      <c r="A220" s="13"/>
      <c r="B220" s="13"/>
      <c r="C220" s="28"/>
      <c r="D220" s="13"/>
      <c r="E220" s="13"/>
      <c r="F220" s="28"/>
      <c r="G220" s="28"/>
      <c r="H220" s="21"/>
      <c r="I220" s="21"/>
      <c r="J220" s="13"/>
      <c r="K220" s="13" t="str">
        <f aca="false">IF(A220="","",IFERROR(INDEX(Clientes!$B$2:$B$200,MATCH(B220,Clientes!$A$2:$A$200,0)),"Cliente no registrado"))</f>
        <v/>
      </c>
      <c r="L220" s="13" t="str">
        <f aca="false">IF(A220="","",IF(OR(J220="Entregado",J220="Anulado"),"No","Sí"))</f>
        <v/>
      </c>
      <c r="M220" s="13" t="str">
        <f aca="false">IF(A220="","",IF(J220="Entregado","Entregado",IF(J220="Anulado","Anulado",IF(F220="","Dato pendiente",IF(F220&lt;Control!$C$4,"Fuera de plazo","En plazo")))))</f>
        <v/>
      </c>
      <c r="N220" s="13" t="str">
        <f aca="false">IF(M220="Fuera de plazo",Control!$C$4-F220,"")</f>
        <v/>
      </c>
      <c r="O220" s="13" t="str">
        <f aca="false">IF(M220="Fuera de plazo",IF(J220="Listo para recoger","Cliente (no recoge)","Tienda o proveedor"),"")</f>
        <v/>
      </c>
      <c r="P220" s="13" t="str">
        <f aca="false">IF(A220="","",COUNTIF(Incidencias!$B$2:$B$151,A220))</f>
        <v/>
      </c>
      <c r="Q220" s="13" t="str">
        <f aca="false">IF(A220="","",COUNTIFS(Incidencias!$B$2:$B$151,A220,Incidencias!$F$2:$F$151,"Abierta"))</f>
        <v/>
      </c>
      <c r="R220" s="21" t="str">
        <f aca="false">IF(L220="Sí",H220-I220,IF(A220="","",0))</f>
        <v/>
      </c>
      <c r="S220" s="13" t="str">
        <f aca="false">IF(AND(J220="Entregado",F220&lt;&gt;"",G220&lt;&gt;""),IF(G220&lt;=F220,"Sí","No"),"")</f>
        <v/>
      </c>
      <c r="T220" s="13" t="str">
        <f aca="false">IF(A220="","",IF(K220="Cliente no registrado","Cliente sin dar de alta",IF(F220="","Falta fecha prevista",IF(AND(J220="Entregado",G220=""),"Entregado sin fecha de entrega",IF(ISNA(MATCH(J220,Inicio!$Z$1:$Z$6,0)),"Estado no reconocido",IF(F220&lt;C220,"Prevista anterior al pedido",IF(AND(G220&lt;&gt;"",G220&lt;C220),"Entrega anterior al pedido","")))))))</f>
        <v/>
      </c>
      <c r="U220" s="13" t="str">
        <f aca="false">IF(L220&lt;&gt;"Sí","",IF(M220="Dato pendiente","Poner fecha prevista y avisar al cliente",IF(M220="En plazo","Seguimiento normal",IF(J220="Listo para recoger","Recordar la recogida al cliente",IF(J220="Esperando pieza","Pedir fecha al proveedor y avisar al cliente",IF(J220="En taller","Revisar con el taller","Confirmar el pedido con el proveedor"))))))</f>
        <v/>
      </c>
      <c r="V220" s="29" t="str">
        <f aca="false">IF(M220="Dato pendiente",1000+ROW()/10000,IF(M220="Fuera de plazo",N220+ROW()/10000,""))</f>
        <v/>
      </c>
      <c r="W220" s="30" t="str">
        <f aca="false">IF(T220="","",ROW())</f>
        <v/>
      </c>
    </row>
    <row r="221" customFormat="false" ht="15" hidden="false" customHeight="false" outlineLevel="0" collapsed="false">
      <c r="A221" s="13"/>
      <c r="B221" s="13"/>
      <c r="C221" s="28"/>
      <c r="D221" s="13"/>
      <c r="E221" s="13"/>
      <c r="F221" s="28"/>
      <c r="G221" s="28"/>
      <c r="H221" s="21"/>
      <c r="I221" s="21"/>
      <c r="J221" s="13"/>
      <c r="K221" s="13" t="str">
        <f aca="false">IF(A221="","",IFERROR(INDEX(Clientes!$B$2:$B$200,MATCH(B221,Clientes!$A$2:$A$200,0)),"Cliente no registrado"))</f>
        <v/>
      </c>
      <c r="L221" s="13" t="str">
        <f aca="false">IF(A221="","",IF(OR(J221="Entregado",J221="Anulado"),"No","Sí"))</f>
        <v/>
      </c>
      <c r="M221" s="13" t="str">
        <f aca="false">IF(A221="","",IF(J221="Entregado","Entregado",IF(J221="Anulado","Anulado",IF(F221="","Dato pendiente",IF(F221&lt;Control!$C$4,"Fuera de plazo","En plazo")))))</f>
        <v/>
      </c>
      <c r="N221" s="13" t="str">
        <f aca="false">IF(M221="Fuera de plazo",Control!$C$4-F221,"")</f>
        <v/>
      </c>
      <c r="O221" s="13" t="str">
        <f aca="false">IF(M221="Fuera de plazo",IF(J221="Listo para recoger","Cliente (no recoge)","Tienda o proveedor"),"")</f>
        <v/>
      </c>
      <c r="P221" s="13" t="str">
        <f aca="false">IF(A221="","",COUNTIF(Incidencias!$B$2:$B$151,A221))</f>
        <v/>
      </c>
      <c r="Q221" s="13" t="str">
        <f aca="false">IF(A221="","",COUNTIFS(Incidencias!$B$2:$B$151,A221,Incidencias!$F$2:$F$151,"Abierta"))</f>
        <v/>
      </c>
      <c r="R221" s="21" t="str">
        <f aca="false">IF(L221="Sí",H221-I221,IF(A221="","",0))</f>
        <v/>
      </c>
      <c r="S221" s="13" t="str">
        <f aca="false">IF(AND(J221="Entregado",F221&lt;&gt;"",G221&lt;&gt;""),IF(G221&lt;=F221,"Sí","No"),"")</f>
        <v/>
      </c>
      <c r="T221" s="13" t="str">
        <f aca="false">IF(A221="","",IF(K221="Cliente no registrado","Cliente sin dar de alta",IF(F221="","Falta fecha prevista",IF(AND(J221="Entregado",G221=""),"Entregado sin fecha de entrega",IF(ISNA(MATCH(J221,Inicio!$Z$1:$Z$6,0)),"Estado no reconocido",IF(F221&lt;C221,"Prevista anterior al pedido",IF(AND(G221&lt;&gt;"",G221&lt;C221),"Entrega anterior al pedido","")))))))</f>
        <v/>
      </c>
      <c r="U221" s="13" t="str">
        <f aca="false">IF(L221&lt;&gt;"Sí","",IF(M221="Dato pendiente","Poner fecha prevista y avisar al cliente",IF(M221="En plazo","Seguimiento normal",IF(J221="Listo para recoger","Recordar la recogida al cliente",IF(J221="Esperando pieza","Pedir fecha al proveedor y avisar al cliente",IF(J221="En taller","Revisar con el taller","Confirmar el pedido con el proveedor"))))))</f>
        <v/>
      </c>
      <c r="V221" s="29" t="str">
        <f aca="false">IF(M221="Dato pendiente",1000+ROW()/10000,IF(M221="Fuera de plazo",N221+ROW()/10000,""))</f>
        <v/>
      </c>
      <c r="W221" s="30" t="str">
        <f aca="false">IF(T221="","",ROW())</f>
        <v/>
      </c>
    </row>
    <row r="222" customFormat="false" ht="15" hidden="false" customHeight="false" outlineLevel="0" collapsed="false">
      <c r="A222" s="13"/>
      <c r="B222" s="13"/>
      <c r="C222" s="28"/>
      <c r="D222" s="13"/>
      <c r="E222" s="13"/>
      <c r="F222" s="28"/>
      <c r="G222" s="28"/>
      <c r="H222" s="21"/>
      <c r="I222" s="21"/>
      <c r="J222" s="13"/>
      <c r="K222" s="13" t="str">
        <f aca="false">IF(A222="","",IFERROR(INDEX(Clientes!$B$2:$B$200,MATCH(B222,Clientes!$A$2:$A$200,0)),"Cliente no registrado"))</f>
        <v/>
      </c>
      <c r="L222" s="13" t="str">
        <f aca="false">IF(A222="","",IF(OR(J222="Entregado",J222="Anulado"),"No","Sí"))</f>
        <v/>
      </c>
      <c r="M222" s="13" t="str">
        <f aca="false">IF(A222="","",IF(J222="Entregado","Entregado",IF(J222="Anulado","Anulado",IF(F222="","Dato pendiente",IF(F222&lt;Control!$C$4,"Fuera de plazo","En plazo")))))</f>
        <v/>
      </c>
      <c r="N222" s="13" t="str">
        <f aca="false">IF(M222="Fuera de plazo",Control!$C$4-F222,"")</f>
        <v/>
      </c>
      <c r="O222" s="13" t="str">
        <f aca="false">IF(M222="Fuera de plazo",IF(J222="Listo para recoger","Cliente (no recoge)","Tienda o proveedor"),"")</f>
        <v/>
      </c>
      <c r="P222" s="13" t="str">
        <f aca="false">IF(A222="","",COUNTIF(Incidencias!$B$2:$B$151,A222))</f>
        <v/>
      </c>
      <c r="Q222" s="13" t="str">
        <f aca="false">IF(A222="","",COUNTIFS(Incidencias!$B$2:$B$151,A222,Incidencias!$F$2:$F$151,"Abierta"))</f>
        <v/>
      </c>
      <c r="R222" s="21" t="str">
        <f aca="false">IF(L222="Sí",H222-I222,IF(A222="","",0))</f>
        <v/>
      </c>
      <c r="S222" s="13" t="str">
        <f aca="false">IF(AND(J222="Entregado",F222&lt;&gt;"",G222&lt;&gt;""),IF(G222&lt;=F222,"Sí","No"),"")</f>
        <v/>
      </c>
      <c r="T222" s="13" t="str">
        <f aca="false">IF(A222="","",IF(K222="Cliente no registrado","Cliente sin dar de alta",IF(F222="","Falta fecha prevista",IF(AND(J222="Entregado",G222=""),"Entregado sin fecha de entrega",IF(ISNA(MATCH(J222,Inicio!$Z$1:$Z$6,0)),"Estado no reconocido",IF(F222&lt;C222,"Prevista anterior al pedido",IF(AND(G222&lt;&gt;"",G222&lt;C222),"Entrega anterior al pedido","")))))))</f>
        <v/>
      </c>
      <c r="U222" s="13" t="str">
        <f aca="false">IF(L222&lt;&gt;"Sí","",IF(M222="Dato pendiente","Poner fecha prevista y avisar al cliente",IF(M222="En plazo","Seguimiento normal",IF(J222="Listo para recoger","Recordar la recogida al cliente",IF(J222="Esperando pieza","Pedir fecha al proveedor y avisar al cliente",IF(J222="En taller","Revisar con el taller","Confirmar el pedido con el proveedor"))))))</f>
        <v/>
      </c>
      <c r="V222" s="29" t="str">
        <f aca="false">IF(M222="Dato pendiente",1000+ROW()/10000,IF(M222="Fuera de plazo",N222+ROW()/10000,""))</f>
        <v/>
      </c>
      <c r="W222" s="30" t="str">
        <f aca="false">IF(T222="","",ROW())</f>
        <v/>
      </c>
    </row>
    <row r="223" customFormat="false" ht="15" hidden="false" customHeight="false" outlineLevel="0" collapsed="false">
      <c r="A223" s="13"/>
      <c r="B223" s="13"/>
      <c r="C223" s="28"/>
      <c r="D223" s="13"/>
      <c r="E223" s="13"/>
      <c r="F223" s="28"/>
      <c r="G223" s="28"/>
      <c r="H223" s="21"/>
      <c r="I223" s="21"/>
      <c r="J223" s="13"/>
      <c r="K223" s="13" t="str">
        <f aca="false">IF(A223="","",IFERROR(INDEX(Clientes!$B$2:$B$200,MATCH(B223,Clientes!$A$2:$A$200,0)),"Cliente no registrado"))</f>
        <v/>
      </c>
      <c r="L223" s="13" t="str">
        <f aca="false">IF(A223="","",IF(OR(J223="Entregado",J223="Anulado"),"No","Sí"))</f>
        <v/>
      </c>
      <c r="M223" s="13" t="str">
        <f aca="false">IF(A223="","",IF(J223="Entregado","Entregado",IF(J223="Anulado","Anulado",IF(F223="","Dato pendiente",IF(F223&lt;Control!$C$4,"Fuera de plazo","En plazo")))))</f>
        <v/>
      </c>
      <c r="N223" s="13" t="str">
        <f aca="false">IF(M223="Fuera de plazo",Control!$C$4-F223,"")</f>
        <v/>
      </c>
      <c r="O223" s="13" t="str">
        <f aca="false">IF(M223="Fuera de plazo",IF(J223="Listo para recoger","Cliente (no recoge)","Tienda o proveedor"),"")</f>
        <v/>
      </c>
      <c r="P223" s="13" t="str">
        <f aca="false">IF(A223="","",COUNTIF(Incidencias!$B$2:$B$151,A223))</f>
        <v/>
      </c>
      <c r="Q223" s="13" t="str">
        <f aca="false">IF(A223="","",COUNTIFS(Incidencias!$B$2:$B$151,A223,Incidencias!$F$2:$F$151,"Abierta"))</f>
        <v/>
      </c>
      <c r="R223" s="21" t="str">
        <f aca="false">IF(L223="Sí",H223-I223,IF(A223="","",0))</f>
        <v/>
      </c>
      <c r="S223" s="13" t="str">
        <f aca="false">IF(AND(J223="Entregado",F223&lt;&gt;"",G223&lt;&gt;""),IF(G223&lt;=F223,"Sí","No"),"")</f>
        <v/>
      </c>
      <c r="T223" s="13" t="str">
        <f aca="false">IF(A223="","",IF(K223="Cliente no registrado","Cliente sin dar de alta",IF(F223="","Falta fecha prevista",IF(AND(J223="Entregado",G223=""),"Entregado sin fecha de entrega",IF(ISNA(MATCH(J223,Inicio!$Z$1:$Z$6,0)),"Estado no reconocido",IF(F223&lt;C223,"Prevista anterior al pedido",IF(AND(G223&lt;&gt;"",G223&lt;C223),"Entrega anterior al pedido","")))))))</f>
        <v/>
      </c>
      <c r="U223" s="13" t="str">
        <f aca="false">IF(L223&lt;&gt;"Sí","",IF(M223="Dato pendiente","Poner fecha prevista y avisar al cliente",IF(M223="En plazo","Seguimiento normal",IF(J223="Listo para recoger","Recordar la recogida al cliente",IF(J223="Esperando pieza","Pedir fecha al proveedor y avisar al cliente",IF(J223="En taller","Revisar con el taller","Confirmar el pedido con el proveedor"))))))</f>
        <v/>
      </c>
      <c r="V223" s="29" t="str">
        <f aca="false">IF(M223="Dato pendiente",1000+ROW()/10000,IF(M223="Fuera de plazo",N223+ROW()/10000,""))</f>
        <v/>
      </c>
      <c r="W223" s="30" t="str">
        <f aca="false">IF(T223="","",ROW())</f>
        <v/>
      </c>
    </row>
    <row r="224" customFormat="false" ht="15" hidden="false" customHeight="false" outlineLevel="0" collapsed="false">
      <c r="A224" s="13"/>
      <c r="B224" s="13"/>
      <c r="C224" s="28"/>
      <c r="D224" s="13"/>
      <c r="E224" s="13"/>
      <c r="F224" s="28"/>
      <c r="G224" s="28"/>
      <c r="H224" s="21"/>
      <c r="I224" s="21"/>
      <c r="J224" s="13"/>
      <c r="K224" s="13" t="str">
        <f aca="false">IF(A224="","",IFERROR(INDEX(Clientes!$B$2:$B$200,MATCH(B224,Clientes!$A$2:$A$200,0)),"Cliente no registrado"))</f>
        <v/>
      </c>
      <c r="L224" s="13" t="str">
        <f aca="false">IF(A224="","",IF(OR(J224="Entregado",J224="Anulado"),"No","Sí"))</f>
        <v/>
      </c>
      <c r="M224" s="13" t="str">
        <f aca="false">IF(A224="","",IF(J224="Entregado","Entregado",IF(J224="Anulado","Anulado",IF(F224="","Dato pendiente",IF(F224&lt;Control!$C$4,"Fuera de plazo","En plazo")))))</f>
        <v/>
      </c>
      <c r="N224" s="13" t="str">
        <f aca="false">IF(M224="Fuera de plazo",Control!$C$4-F224,"")</f>
        <v/>
      </c>
      <c r="O224" s="13" t="str">
        <f aca="false">IF(M224="Fuera de plazo",IF(J224="Listo para recoger","Cliente (no recoge)","Tienda o proveedor"),"")</f>
        <v/>
      </c>
      <c r="P224" s="13" t="str">
        <f aca="false">IF(A224="","",COUNTIF(Incidencias!$B$2:$B$151,A224))</f>
        <v/>
      </c>
      <c r="Q224" s="13" t="str">
        <f aca="false">IF(A224="","",COUNTIFS(Incidencias!$B$2:$B$151,A224,Incidencias!$F$2:$F$151,"Abierta"))</f>
        <v/>
      </c>
      <c r="R224" s="21" t="str">
        <f aca="false">IF(L224="Sí",H224-I224,IF(A224="","",0))</f>
        <v/>
      </c>
      <c r="S224" s="13" t="str">
        <f aca="false">IF(AND(J224="Entregado",F224&lt;&gt;"",G224&lt;&gt;""),IF(G224&lt;=F224,"Sí","No"),"")</f>
        <v/>
      </c>
      <c r="T224" s="13" t="str">
        <f aca="false">IF(A224="","",IF(K224="Cliente no registrado","Cliente sin dar de alta",IF(F224="","Falta fecha prevista",IF(AND(J224="Entregado",G224=""),"Entregado sin fecha de entrega",IF(ISNA(MATCH(J224,Inicio!$Z$1:$Z$6,0)),"Estado no reconocido",IF(F224&lt;C224,"Prevista anterior al pedido",IF(AND(G224&lt;&gt;"",G224&lt;C224),"Entrega anterior al pedido","")))))))</f>
        <v/>
      </c>
      <c r="U224" s="13" t="str">
        <f aca="false">IF(L224&lt;&gt;"Sí","",IF(M224="Dato pendiente","Poner fecha prevista y avisar al cliente",IF(M224="En plazo","Seguimiento normal",IF(J224="Listo para recoger","Recordar la recogida al cliente",IF(J224="Esperando pieza","Pedir fecha al proveedor y avisar al cliente",IF(J224="En taller","Revisar con el taller","Confirmar el pedido con el proveedor"))))))</f>
        <v/>
      </c>
      <c r="V224" s="29" t="str">
        <f aca="false">IF(M224="Dato pendiente",1000+ROW()/10000,IF(M224="Fuera de plazo",N224+ROW()/10000,""))</f>
        <v/>
      </c>
      <c r="W224" s="30" t="str">
        <f aca="false">IF(T224="","",ROW())</f>
        <v/>
      </c>
    </row>
    <row r="225" customFormat="false" ht="15" hidden="false" customHeight="false" outlineLevel="0" collapsed="false">
      <c r="A225" s="13"/>
      <c r="B225" s="13"/>
      <c r="C225" s="28"/>
      <c r="D225" s="13"/>
      <c r="E225" s="13"/>
      <c r="F225" s="28"/>
      <c r="G225" s="28"/>
      <c r="H225" s="21"/>
      <c r="I225" s="21"/>
      <c r="J225" s="13"/>
      <c r="K225" s="13" t="str">
        <f aca="false">IF(A225="","",IFERROR(INDEX(Clientes!$B$2:$B$200,MATCH(B225,Clientes!$A$2:$A$200,0)),"Cliente no registrado"))</f>
        <v/>
      </c>
      <c r="L225" s="13" t="str">
        <f aca="false">IF(A225="","",IF(OR(J225="Entregado",J225="Anulado"),"No","Sí"))</f>
        <v/>
      </c>
      <c r="M225" s="13" t="str">
        <f aca="false">IF(A225="","",IF(J225="Entregado","Entregado",IF(J225="Anulado","Anulado",IF(F225="","Dato pendiente",IF(F225&lt;Control!$C$4,"Fuera de plazo","En plazo")))))</f>
        <v/>
      </c>
      <c r="N225" s="13" t="str">
        <f aca="false">IF(M225="Fuera de plazo",Control!$C$4-F225,"")</f>
        <v/>
      </c>
      <c r="O225" s="13" t="str">
        <f aca="false">IF(M225="Fuera de plazo",IF(J225="Listo para recoger","Cliente (no recoge)","Tienda o proveedor"),"")</f>
        <v/>
      </c>
      <c r="P225" s="13" t="str">
        <f aca="false">IF(A225="","",COUNTIF(Incidencias!$B$2:$B$151,A225))</f>
        <v/>
      </c>
      <c r="Q225" s="13" t="str">
        <f aca="false">IF(A225="","",COUNTIFS(Incidencias!$B$2:$B$151,A225,Incidencias!$F$2:$F$151,"Abierta"))</f>
        <v/>
      </c>
      <c r="R225" s="21" t="str">
        <f aca="false">IF(L225="Sí",H225-I225,IF(A225="","",0))</f>
        <v/>
      </c>
      <c r="S225" s="13" t="str">
        <f aca="false">IF(AND(J225="Entregado",F225&lt;&gt;"",G225&lt;&gt;""),IF(G225&lt;=F225,"Sí","No"),"")</f>
        <v/>
      </c>
      <c r="T225" s="13" t="str">
        <f aca="false">IF(A225="","",IF(K225="Cliente no registrado","Cliente sin dar de alta",IF(F225="","Falta fecha prevista",IF(AND(J225="Entregado",G225=""),"Entregado sin fecha de entrega",IF(ISNA(MATCH(J225,Inicio!$Z$1:$Z$6,0)),"Estado no reconocido",IF(F225&lt;C225,"Prevista anterior al pedido",IF(AND(G225&lt;&gt;"",G225&lt;C225),"Entrega anterior al pedido","")))))))</f>
        <v/>
      </c>
      <c r="U225" s="13" t="str">
        <f aca="false">IF(L225&lt;&gt;"Sí","",IF(M225="Dato pendiente","Poner fecha prevista y avisar al cliente",IF(M225="En plazo","Seguimiento normal",IF(J225="Listo para recoger","Recordar la recogida al cliente",IF(J225="Esperando pieza","Pedir fecha al proveedor y avisar al cliente",IF(J225="En taller","Revisar con el taller","Confirmar el pedido con el proveedor"))))))</f>
        <v/>
      </c>
      <c r="V225" s="29" t="str">
        <f aca="false">IF(M225="Dato pendiente",1000+ROW()/10000,IF(M225="Fuera de plazo",N225+ROW()/10000,""))</f>
        <v/>
      </c>
      <c r="W225" s="30" t="str">
        <f aca="false">IF(T225="","",ROW())</f>
        <v/>
      </c>
    </row>
    <row r="226" customFormat="false" ht="15" hidden="false" customHeight="false" outlineLevel="0" collapsed="false">
      <c r="A226" s="13"/>
      <c r="B226" s="13"/>
      <c r="C226" s="28"/>
      <c r="D226" s="13"/>
      <c r="E226" s="13"/>
      <c r="F226" s="28"/>
      <c r="G226" s="28"/>
      <c r="H226" s="21"/>
      <c r="I226" s="21"/>
      <c r="J226" s="13"/>
      <c r="K226" s="13" t="str">
        <f aca="false">IF(A226="","",IFERROR(INDEX(Clientes!$B$2:$B$200,MATCH(B226,Clientes!$A$2:$A$200,0)),"Cliente no registrado"))</f>
        <v/>
      </c>
      <c r="L226" s="13" t="str">
        <f aca="false">IF(A226="","",IF(OR(J226="Entregado",J226="Anulado"),"No","Sí"))</f>
        <v/>
      </c>
      <c r="M226" s="13" t="str">
        <f aca="false">IF(A226="","",IF(J226="Entregado","Entregado",IF(J226="Anulado","Anulado",IF(F226="","Dato pendiente",IF(F226&lt;Control!$C$4,"Fuera de plazo","En plazo")))))</f>
        <v/>
      </c>
      <c r="N226" s="13" t="str">
        <f aca="false">IF(M226="Fuera de plazo",Control!$C$4-F226,"")</f>
        <v/>
      </c>
      <c r="O226" s="13" t="str">
        <f aca="false">IF(M226="Fuera de plazo",IF(J226="Listo para recoger","Cliente (no recoge)","Tienda o proveedor"),"")</f>
        <v/>
      </c>
      <c r="P226" s="13" t="str">
        <f aca="false">IF(A226="","",COUNTIF(Incidencias!$B$2:$B$151,A226))</f>
        <v/>
      </c>
      <c r="Q226" s="13" t="str">
        <f aca="false">IF(A226="","",COUNTIFS(Incidencias!$B$2:$B$151,A226,Incidencias!$F$2:$F$151,"Abierta"))</f>
        <v/>
      </c>
      <c r="R226" s="21" t="str">
        <f aca="false">IF(L226="Sí",H226-I226,IF(A226="","",0))</f>
        <v/>
      </c>
      <c r="S226" s="13" t="str">
        <f aca="false">IF(AND(J226="Entregado",F226&lt;&gt;"",G226&lt;&gt;""),IF(G226&lt;=F226,"Sí","No"),"")</f>
        <v/>
      </c>
      <c r="T226" s="13" t="str">
        <f aca="false">IF(A226="","",IF(K226="Cliente no registrado","Cliente sin dar de alta",IF(F226="","Falta fecha prevista",IF(AND(J226="Entregado",G226=""),"Entregado sin fecha de entrega",IF(ISNA(MATCH(J226,Inicio!$Z$1:$Z$6,0)),"Estado no reconocido",IF(F226&lt;C226,"Prevista anterior al pedido",IF(AND(G226&lt;&gt;"",G226&lt;C226),"Entrega anterior al pedido","")))))))</f>
        <v/>
      </c>
      <c r="U226" s="13" t="str">
        <f aca="false">IF(L226&lt;&gt;"Sí","",IF(M226="Dato pendiente","Poner fecha prevista y avisar al cliente",IF(M226="En plazo","Seguimiento normal",IF(J226="Listo para recoger","Recordar la recogida al cliente",IF(J226="Esperando pieza","Pedir fecha al proveedor y avisar al cliente",IF(J226="En taller","Revisar con el taller","Confirmar el pedido con el proveedor"))))))</f>
        <v/>
      </c>
      <c r="V226" s="29" t="str">
        <f aca="false">IF(M226="Dato pendiente",1000+ROW()/10000,IF(M226="Fuera de plazo",N226+ROW()/10000,""))</f>
        <v/>
      </c>
      <c r="W226" s="30" t="str">
        <f aca="false">IF(T226="","",ROW())</f>
        <v/>
      </c>
    </row>
    <row r="227" customFormat="false" ht="15" hidden="false" customHeight="false" outlineLevel="0" collapsed="false">
      <c r="A227" s="13"/>
      <c r="B227" s="13"/>
      <c r="C227" s="28"/>
      <c r="D227" s="13"/>
      <c r="E227" s="13"/>
      <c r="F227" s="28"/>
      <c r="G227" s="28"/>
      <c r="H227" s="21"/>
      <c r="I227" s="21"/>
      <c r="J227" s="13"/>
      <c r="K227" s="13" t="str">
        <f aca="false">IF(A227="","",IFERROR(INDEX(Clientes!$B$2:$B$200,MATCH(B227,Clientes!$A$2:$A$200,0)),"Cliente no registrado"))</f>
        <v/>
      </c>
      <c r="L227" s="13" t="str">
        <f aca="false">IF(A227="","",IF(OR(J227="Entregado",J227="Anulado"),"No","Sí"))</f>
        <v/>
      </c>
      <c r="M227" s="13" t="str">
        <f aca="false">IF(A227="","",IF(J227="Entregado","Entregado",IF(J227="Anulado","Anulado",IF(F227="","Dato pendiente",IF(F227&lt;Control!$C$4,"Fuera de plazo","En plazo")))))</f>
        <v/>
      </c>
      <c r="N227" s="13" t="str">
        <f aca="false">IF(M227="Fuera de plazo",Control!$C$4-F227,"")</f>
        <v/>
      </c>
      <c r="O227" s="13" t="str">
        <f aca="false">IF(M227="Fuera de plazo",IF(J227="Listo para recoger","Cliente (no recoge)","Tienda o proveedor"),"")</f>
        <v/>
      </c>
      <c r="P227" s="13" t="str">
        <f aca="false">IF(A227="","",COUNTIF(Incidencias!$B$2:$B$151,A227))</f>
        <v/>
      </c>
      <c r="Q227" s="13" t="str">
        <f aca="false">IF(A227="","",COUNTIFS(Incidencias!$B$2:$B$151,A227,Incidencias!$F$2:$F$151,"Abierta"))</f>
        <v/>
      </c>
      <c r="R227" s="21" t="str">
        <f aca="false">IF(L227="Sí",H227-I227,IF(A227="","",0))</f>
        <v/>
      </c>
      <c r="S227" s="13" t="str">
        <f aca="false">IF(AND(J227="Entregado",F227&lt;&gt;"",G227&lt;&gt;""),IF(G227&lt;=F227,"Sí","No"),"")</f>
        <v/>
      </c>
      <c r="T227" s="13" t="str">
        <f aca="false">IF(A227="","",IF(K227="Cliente no registrado","Cliente sin dar de alta",IF(F227="","Falta fecha prevista",IF(AND(J227="Entregado",G227=""),"Entregado sin fecha de entrega",IF(ISNA(MATCH(J227,Inicio!$Z$1:$Z$6,0)),"Estado no reconocido",IF(F227&lt;C227,"Prevista anterior al pedido",IF(AND(G227&lt;&gt;"",G227&lt;C227),"Entrega anterior al pedido","")))))))</f>
        <v/>
      </c>
      <c r="U227" s="13" t="str">
        <f aca="false">IF(L227&lt;&gt;"Sí","",IF(M227="Dato pendiente","Poner fecha prevista y avisar al cliente",IF(M227="En plazo","Seguimiento normal",IF(J227="Listo para recoger","Recordar la recogida al cliente",IF(J227="Esperando pieza","Pedir fecha al proveedor y avisar al cliente",IF(J227="En taller","Revisar con el taller","Confirmar el pedido con el proveedor"))))))</f>
        <v/>
      </c>
      <c r="V227" s="29" t="str">
        <f aca="false">IF(M227="Dato pendiente",1000+ROW()/10000,IF(M227="Fuera de plazo",N227+ROW()/10000,""))</f>
        <v/>
      </c>
      <c r="W227" s="30" t="str">
        <f aca="false">IF(T227="","",ROW())</f>
        <v/>
      </c>
    </row>
    <row r="228" customFormat="false" ht="15" hidden="false" customHeight="false" outlineLevel="0" collapsed="false">
      <c r="A228" s="13"/>
      <c r="B228" s="13"/>
      <c r="C228" s="28"/>
      <c r="D228" s="13"/>
      <c r="E228" s="13"/>
      <c r="F228" s="28"/>
      <c r="G228" s="28"/>
      <c r="H228" s="21"/>
      <c r="I228" s="21"/>
      <c r="J228" s="13"/>
      <c r="K228" s="13" t="str">
        <f aca="false">IF(A228="","",IFERROR(INDEX(Clientes!$B$2:$B$200,MATCH(B228,Clientes!$A$2:$A$200,0)),"Cliente no registrado"))</f>
        <v/>
      </c>
      <c r="L228" s="13" t="str">
        <f aca="false">IF(A228="","",IF(OR(J228="Entregado",J228="Anulado"),"No","Sí"))</f>
        <v/>
      </c>
      <c r="M228" s="13" t="str">
        <f aca="false">IF(A228="","",IF(J228="Entregado","Entregado",IF(J228="Anulado","Anulado",IF(F228="","Dato pendiente",IF(F228&lt;Control!$C$4,"Fuera de plazo","En plazo")))))</f>
        <v/>
      </c>
      <c r="N228" s="13" t="str">
        <f aca="false">IF(M228="Fuera de plazo",Control!$C$4-F228,"")</f>
        <v/>
      </c>
      <c r="O228" s="13" t="str">
        <f aca="false">IF(M228="Fuera de plazo",IF(J228="Listo para recoger","Cliente (no recoge)","Tienda o proveedor"),"")</f>
        <v/>
      </c>
      <c r="P228" s="13" t="str">
        <f aca="false">IF(A228="","",COUNTIF(Incidencias!$B$2:$B$151,A228))</f>
        <v/>
      </c>
      <c r="Q228" s="13" t="str">
        <f aca="false">IF(A228="","",COUNTIFS(Incidencias!$B$2:$B$151,A228,Incidencias!$F$2:$F$151,"Abierta"))</f>
        <v/>
      </c>
      <c r="R228" s="21" t="str">
        <f aca="false">IF(L228="Sí",H228-I228,IF(A228="","",0))</f>
        <v/>
      </c>
      <c r="S228" s="13" t="str">
        <f aca="false">IF(AND(J228="Entregado",F228&lt;&gt;"",G228&lt;&gt;""),IF(G228&lt;=F228,"Sí","No"),"")</f>
        <v/>
      </c>
      <c r="T228" s="13" t="str">
        <f aca="false">IF(A228="","",IF(K228="Cliente no registrado","Cliente sin dar de alta",IF(F228="","Falta fecha prevista",IF(AND(J228="Entregado",G228=""),"Entregado sin fecha de entrega",IF(ISNA(MATCH(J228,Inicio!$Z$1:$Z$6,0)),"Estado no reconocido",IF(F228&lt;C228,"Prevista anterior al pedido",IF(AND(G228&lt;&gt;"",G228&lt;C228),"Entrega anterior al pedido","")))))))</f>
        <v/>
      </c>
      <c r="U228" s="13" t="str">
        <f aca="false">IF(L228&lt;&gt;"Sí","",IF(M228="Dato pendiente","Poner fecha prevista y avisar al cliente",IF(M228="En plazo","Seguimiento normal",IF(J228="Listo para recoger","Recordar la recogida al cliente",IF(J228="Esperando pieza","Pedir fecha al proveedor y avisar al cliente",IF(J228="En taller","Revisar con el taller","Confirmar el pedido con el proveedor"))))))</f>
        <v/>
      </c>
      <c r="V228" s="29" t="str">
        <f aca="false">IF(M228="Dato pendiente",1000+ROW()/10000,IF(M228="Fuera de plazo",N228+ROW()/10000,""))</f>
        <v/>
      </c>
      <c r="W228" s="30" t="str">
        <f aca="false">IF(T228="","",ROW())</f>
        <v/>
      </c>
    </row>
    <row r="229" customFormat="false" ht="15" hidden="false" customHeight="false" outlineLevel="0" collapsed="false">
      <c r="A229" s="13"/>
      <c r="B229" s="13"/>
      <c r="C229" s="28"/>
      <c r="D229" s="13"/>
      <c r="E229" s="13"/>
      <c r="F229" s="28"/>
      <c r="G229" s="28"/>
      <c r="H229" s="21"/>
      <c r="I229" s="21"/>
      <c r="J229" s="13"/>
      <c r="K229" s="13" t="str">
        <f aca="false">IF(A229="","",IFERROR(INDEX(Clientes!$B$2:$B$200,MATCH(B229,Clientes!$A$2:$A$200,0)),"Cliente no registrado"))</f>
        <v/>
      </c>
      <c r="L229" s="13" t="str">
        <f aca="false">IF(A229="","",IF(OR(J229="Entregado",J229="Anulado"),"No","Sí"))</f>
        <v/>
      </c>
      <c r="M229" s="13" t="str">
        <f aca="false">IF(A229="","",IF(J229="Entregado","Entregado",IF(J229="Anulado","Anulado",IF(F229="","Dato pendiente",IF(F229&lt;Control!$C$4,"Fuera de plazo","En plazo")))))</f>
        <v/>
      </c>
      <c r="N229" s="13" t="str">
        <f aca="false">IF(M229="Fuera de plazo",Control!$C$4-F229,"")</f>
        <v/>
      </c>
      <c r="O229" s="13" t="str">
        <f aca="false">IF(M229="Fuera de plazo",IF(J229="Listo para recoger","Cliente (no recoge)","Tienda o proveedor"),"")</f>
        <v/>
      </c>
      <c r="P229" s="13" t="str">
        <f aca="false">IF(A229="","",COUNTIF(Incidencias!$B$2:$B$151,A229))</f>
        <v/>
      </c>
      <c r="Q229" s="13" t="str">
        <f aca="false">IF(A229="","",COUNTIFS(Incidencias!$B$2:$B$151,A229,Incidencias!$F$2:$F$151,"Abierta"))</f>
        <v/>
      </c>
      <c r="R229" s="21" t="str">
        <f aca="false">IF(L229="Sí",H229-I229,IF(A229="","",0))</f>
        <v/>
      </c>
      <c r="S229" s="13" t="str">
        <f aca="false">IF(AND(J229="Entregado",F229&lt;&gt;"",G229&lt;&gt;""),IF(G229&lt;=F229,"Sí","No"),"")</f>
        <v/>
      </c>
      <c r="T229" s="13" t="str">
        <f aca="false">IF(A229="","",IF(K229="Cliente no registrado","Cliente sin dar de alta",IF(F229="","Falta fecha prevista",IF(AND(J229="Entregado",G229=""),"Entregado sin fecha de entrega",IF(ISNA(MATCH(J229,Inicio!$Z$1:$Z$6,0)),"Estado no reconocido",IF(F229&lt;C229,"Prevista anterior al pedido",IF(AND(G229&lt;&gt;"",G229&lt;C229),"Entrega anterior al pedido","")))))))</f>
        <v/>
      </c>
      <c r="U229" s="13" t="str">
        <f aca="false">IF(L229&lt;&gt;"Sí","",IF(M229="Dato pendiente","Poner fecha prevista y avisar al cliente",IF(M229="En plazo","Seguimiento normal",IF(J229="Listo para recoger","Recordar la recogida al cliente",IF(J229="Esperando pieza","Pedir fecha al proveedor y avisar al cliente",IF(J229="En taller","Revisar con el taller","Confirmar el pedido con el proveedor"))))))</f>
        <v/>
      </c>
      <c r="V229" s="29" t="str">
        <f aca="false">IF(M229="Dato pendiente",1000+ROW()/10000,IF(M229="Fuera de plazo",N229+ROW()/10000,""))</f>
        <v/>
      </c>
      <c r="W229" s="30" t="str">
        <f aca="false">IF(T229="","",ROW())</f>
        <v/>
      </c>
    </row>
    <row r="230" customFormat="false" ht="15" hidden="false" customHeight="false" outlineLevel="0" collapsed="false">
      <c r="A230" s="13"/>
      <c r="B230" s="13"/>
      <c r="C230" s="28"/>
      <c r="D230" s="13"/>
      <c r="E230" s="13"/>
      <c r="F230" s="28"/>
      <c r="G230" s="28"/>
      <c r="H230" s="21"/>
      <c r="I230" s="21"/>
      <c r="J230" s="13"/>
      <c r="K230" s="13" t="str">
        <f aca="false">IF(A230="","",IFERROR(INDEX(Clientes!$B$2:$B$200,MATCH(B230,Clientes!$A$2:$A$200,0)),"Cliente no registrado"))</f>
        <v/>
      </c>
      <c r="L230" s="13" t="str">
        <f aca="false">IF(A230="","",IF(OR(J230="Entregado",J230="Anulado"),"No","Sí"))</f>
        <v/>
      </c>
      <c r="M230" s="13" t="str">
        <f aca="false">IF(A230="","",IF(J230="Entregado","Entregado",IF(J230="Anulado","Anulado",IF(F230="","Dato pendiente",IF(F230&lt;Control!$C$4,"Fuera de plazo","En plazo")))))</f>
        <v/>
      </c>
      <c r="N230" s="13" t="str">
        <f aca="false">IF(M230="Fuera de plazo",Control!$C$4-F230,"")</f>
        <v/>
      </c>
      <c r="O230" s="13" t="str">
        <f aca="false">IF(M230="Fuera de plazo",IF(J230="Listo para recoger","Cliente (no recoge)","Tienda o proveedor"),"")</f>
        <v/>
      </c>
      <c r="P230" s="13" t="str">
        <f aca="false">IF(A230="","",COUNTIF(Incidencias!$B$2:$B$151,A230))</f>
        <v/>
      </c>
      <c r="Q230" s="13" t="str">
        <f aca="false">IF(A230="","",COUNTIFS(Incidencias!$B$2:$B$151,A230,Incidencias!$F$2:$F$151,"Abierta"))</f>
        <v/>
      </c>
      <c r="R230" s="21" t="str">
        <f aca="false">IF(L230="Sí",H230-I230,IF(A230="","",0))</f>
        <v/>
      </c>
      <c r="S230" s="13" t="str">
        <f aca="false">IF(AND(J230="Entregado",F230&lt;&gt;"",G230&lt;&gt;""),IF(G230&lt;=F230,"Sí","No"),"")</f>
        <v/>
      </c>
      <c r="T230" s="13" t="str">
        <f aca="false">IF(A230="","",IF(K230="Cliente no registrado","Cliente sin dar de alta",IF(F230="","Falta fecha prevista",IF(AND(J230="Entregado",G230=""),"Entregado sin fecha de entrega",IF(ISNA(MATCH(J230,Inicio!$Z$1:$Z$6,0)),"Estado no reconocido",IF(F230&lt;C230,"Prevista anterior al pedido",IF(AND(G230&lt;&gt;"",G230&lt;C230),"Entrega anterior al pedido","")))))))</f>
        <v/>
      </c>
      <c r="U230" s="13" t="str">
        <f aca="false">IF(L230&lt;&gt;"Sí","",IF(M230="Dato pendiente","Poner fecha prevista y avisar al cliente",IF(M230="En plazo","Seguimiento normal",IF(J230="Listo para recoger","Recordar la recogida al cliente",IF(J230="Esperando pieza","Pedir fecha al proveedor y avisar al cliente",IF(J230="En taller","Revisar con el taller","Confirmar el pedido con el proveedor"))))))</f>
        <v/>
      </c>
      <c r="V230" s="29" t="str">
        <f aca="false">IF(M230="Dato pendiente",1000+ROW()/10000,IF(M230="Fuera de plazo",N230+ROW()/10000,""))</f>
        <v/>
      </c>
      <c r="W230" s="30" t="str">
        <f aca="false">IF(T230="","",ROW())</f>
        <v/>
      </c>
    </row>
    <row r="231" customFormat="false" ht="15" hidden="false" customHeight="false" outlineLevel="0" collapsed="false">
      <c r="A231" s="13"/>
      <c r="B231" s="13"/>
      <c r="C231" s="28"/>
      <c r="D231" s="13"/>
      <c r="E231" s="13"/>
      <c r="F231" s="28"/>
      <c r="G231" s="28"/>
      <c r="H231" s="21"/>
      <c r="I231" s="21"/>
      <c r="J231" s="13"/>
      <c r="K231" s="13" t="str">
        <f aca="false">IF(A231="","",IFERROR(INDEX(Clientes!$B$2:$B$200,MATCH(B231,Clientes!$A$2:$A$200,0)),"Cliente no registrado"))</f>
        <v/>
      </c>
      <c r="L231" s="13" t="str">
        <f aca="false">IF(A231="","",IF(OR(J231="Entregado",J231="Anulado"),"No","Sí"))</f>
        <v/>
      </c>
      <c r="M231" s="13" t="str">
        <f aca="false">IF(A231="","",IF(J231="Entregado","Entregado",IF(J231="Anulado","Anulado",IF(F231="","Dato pendiente",IF(F231&lt;Control!$C$4,"Fuera de plazo","En plazo")))))</f>
        <v/>
      </c>
      <c r="N231" s="13" t="str">
        <f aca="false">IF(M231="Fuera de plazo",Control!$C$4-F231,"")</f>
        <v/>
      </c>
      <c r="O231" s="13" t="str">
        <f aca="false">IF(M231="Fuera de plazo",IF(J231="Listo para recoger","Cliente (no recoge)","Tienda o proveedor"),"")</f>
        <v/>
      </c>
      <c r="P231" s="13" t="str">
        <f aca="false">IF(A231="","",COUNTIF(Incidencias!$B$2:$B$151,A231))</f>
        <v/>
      </c>
      <c r="Q231" s="13" t="str">
        <f aca="false">IF(A231="","",COUNTIFS(Incidencias!$B$2:$B$151,A231,Incidencias!$F$2:$F$151,"Abierta"))</f>
        <v/>
      </c>
      <c r="R231" s="21" t="str">
        <f aca="false">IF(L231="Sí",H231-I231,IF(A231="","",0))</f>
        <v/>
      </c>
      <c r="S231" s="13" t="str">
        <f aca="false">IF(AND(J231="Entregado",F231&lt;&gt;"",G231&lt;&gt;""),IF(G231&lt;=F231,"Sí","No"),"")</f>
        <v/>
      </c>
      <c r="T231" s="13" t="str">
        <f aca="false">IF(A231="","",IF(K231="Cliente no registrado","Cliente sin dar de alta",IF(F231="","Falta fecha prevista",IF(AND(J231="Entregado",G231=""),"Entregado sin fecha de entrega",IF(ISNA(MATCH(J231,Inicio!$Z$1:$Z$6,0)),"Estado no reconocido",IF(F231&lt;C231,"Prevista anterior al pedido",IF(AND(G231&lt;&gt;"",G231&lt;C231),"Entrega anterior al pedido","")))))))</f>
        <v/>
      </c>
      <c r="U231" s="13" t="str">
        <f aca="false">IF(L231&lt;&gt;"Sí","",IF(M231="Dato pendiente","Poner fecha prevista y avisar al cliente",IF(M231="En plazo","Seguimiento normal",IF(J231="Listo para recoger","Recordar la recogida al cliente",IF(J231="Esperando pieza","Pedir fecha al proveedor y avisar al cliente",IF(J231="En taller","Revisar con el taller","Confirmar el pedido con el proveedor"))))))</f>
        <v/>
      </c>
      <c r="V231" s="29" t="str">
        <f aca="false">IF(M231="Dato pendiente",1000+ROW()/10000,IF(M231="Fuera de plazo",N231+ROW()/10000,""))</f>
        <v/>
      </c>
      <c r="W231" s="30" t="str">
        <f aca="false">IF(T231="","",ROW())</f>
        <v/>
      </c>
    </row>
    <row r="232" customFormat="false" ht="15" hidden="false" customHeight="false" outlineLevel="0" collapsed="false">
      <c r="A232" s="13"/>
      <c r="B232" s="13"/>
      <c r="C232" s="28"/>
      <c r="D232" s="13"/>
      <c r="E232" s="13"/>
      <c r="F232" s="28"/>
      <c r="G232" s="28"/>
      <c r="H232" s="21"/>
      <c r="I232" s="21"/>
      <c r="J232" s="13"/>
      <c r="K232" s="13" t="str">
        <f aca="false">IF(A232="","",IFERROR(INDEX(Clientes!$B$2:$B$200,MATCH(B232,Clientes!$A$2:$A$200,0)),"Cliente no registrado"))</f>
        <v/>
      </c>
      <c r="L232" s="13" t="str">
        <f aca="false">IF(A232="","",IF(OR(J232="Entregado",J232="Anulado"),"No","Sí"))</f>
        <v/>
      </c>
      <c r="M232" s="13" t="str">
        <f aca="false">IF(A232="","",IF(J232="Entregado","Entregado",IF(J232="Anulado","Anulado",IF(F232="","Dato pendiente",IF(F232&lt;Control!$C$4,"Fuera de plazo","En plazo")))))</f>
        <v/>
      </c>
      <c r="N232" s="13" t="str">
        <f aca="false">IF(M232="Fuera de plazo",Control!$C$4-F232,"")</f>
        <v/>
      </c>
      <c r="O232" s="13" t="str">
        <f aca="false">IF(M232="Fuera de plazo",IF(J232="Listo para recoger","Cliente (no recoge)","Tienda o proveedor"),"")</f>
        <v/>
      </c>
      <c r="P232" s="13" t="str">
        <f aca="false">IF(A232="","",COUNTIF(Incidencias!$B$2:$B$151,A232))</f>
        <v/>
      </c>
      <c r="Q232" s="13" t="str">
        <f aca="false">IF(A232="","",COUNTIFS(Incidencias!$B$2:$B$151,A232,Incidencias!$F$2:$F$151,"Abierta"))</f>
        <v/>
      </c>
      <c r="R232" s="21" t="str">
        <f aca="false">IF(L232="Sí",H232-I232,IF(A232="","",0))</f>
        <v/>
      </c>
      <c r="S232" s="13" t="str">
        <f aca="false">IF(AND(J232="Entregado",F232&lt;&gt;"",G232&lt;&gt;""),IF(G232&lt;=F232,"Sí","No"),"")</f>
        <v/>
      </c>
      <c r="T232" s="13" t="str">
        <f aca="false">IF(A232="","",IF(K232="Cliente no registrado","Cliente sin dar de alta",IF(F232="","Falta fecha prevista",IF(AND(J232="Entregado",G232=""),"Entregado sin fecha de entrega",IF(ISNA(MATCH(J232,Inicio!$Z$1:$Z$6,0)),"Estado no reconocido",IF(F232&lt;C232,"Prevista anterior al pedido",IF(AND(G232&lt;&gt;"",G232&lt;C232),"Entrega anterior al pedido","")))))))</f>
        <v/>
      </c>
      <c r="U232" s="13" t="str">
        <f aca="false">IF(L232&lt;&gt;"Sí","",IF(M232="Dato pendiente","Poner fecha prevista y avisar al cliente",IF(M232="En plazo","Seguimiento normal",IF(J232="Listo para recoger","Recordar la recogida al cliente",IF(J232="Esperando pieza","Pedir fecha al proveedor y avisar al cliente",IF(J232="En taller","Revisar con el taller","Confirmar el pedido con el proveedor"))))))</f>
        <v/>
      </c>
      <c r="V232" s="29" t="str">
        <f aca="false">IF(M232="Dato pendiente",1000+ROW()/10000,IF(M232="Fuera de plazo",N232+ROW()/10000,""))</f>
        <v/>
      </c>
      <c r="W232" s="30" t="str">
        <f aca="false">IF(T232="","",ROW())</f>
        <v/>
      </c>
    </row>
    <row r="233" customFormat="false" ht="15" hidden="false" customHeight="false" outlineLevel="0" collapsed="false">
      <c r="A233" s="13"/>
      <c r="B233" s="13"/>
      <c r="C233" s="28"/>
      <c r="D233" s="13"/>
      <c r="E233" s="13"/>
      <c r="F233" s="28"/>
      <c r="G233" s="28"/>
      <c r="H233" s="21"/>
      <c r="I233" s="21"/>
      <c r="J233" s="13"/>
      <c r="K233" s="13" t="str">
        <f aca="false">IF(A233="","",IFERROR(INDEX(Clientes!$B$2:$B$200,MATCH(B233,Clientes!$A$2:$A$200,0)),"Cliente no registrado"))</f>
        <v/>
      </c>
      <c r="L233" s="13" t="str">
        <f aca="false">IF(A233="","",IF(OR(J233="Entregado",J233="Anulado"),"No","Sí"))</f>
        <v/>
      </c>
      <c r="M233" s="13" t="str">
        <f aca="false">IF(A233="","",IF(J233="Entregado","Entregado",IF(J233="Anulado","Anulado",IF(F233="","Dato pendiente",IF(F233&lt;Control!$C$4,"Fuera de plazo","En plazo")))))</f>
        <v/>
      </c>
      <c r="N233" s="13" t="str">
        <f aca="false">IF(M233="Fuera de plazo",Control!$C$4-F233,"")</f>
        <v/>
      </c>
      <c r="O233" s="13" t="str">
        <f aca="false">IF(M233="Fuera de plazo",IF(J233="Listo para recoger","Cliente (no recoge)","Tienda o proveedor"),"")</f>
        <v/>
      </c>
      <c r="P233" s="13" t="str">
        <f aca="false">IF(A233="","",COUNTIF(Incidencias!$B$2:$B$151,A233))</f>
        <v/>
      </c>
      <c r="Q233" s="13" t="str">
        <f aca="false">IF(A233="","",COUNTIFS(Incidencias!$B$2:$B$151,A233,Incidencias!$F$2:$F$151,"Abierta"))</f>
        <v/>
      </c>
      <c r="R233" s="21" t="str">
        <f aca="false">IF(L233="Sí",H233-I233,IF(A233="","",0))</f>
        <v/>
      </c>
      <c r="S233" s="13" t="str">
        <f aca="false">IF(AND(J233="Entregado",F233&lt;&gt;"",G233&lt;&gt;""),IF(G233&lt;=F233,"Sí","No"),"")</f>
        <v/>
      </c>
      <c r="T233" s="13" t="str">
        <f aca="false">IF(A233="","",IF(K233="Cliente no registrado","Cliente sin dar de alta",IF(F233="","Falta fecha prevista",IF(AND(J233="Entregado",G233=""),"Entregado sin fecha de entrega",IF(ISNA(MATCH(J233,Inicio!$Z$1:$Z$6,0)),"Estado no reconocido",IF(F233&lt;C233,"Prevista anterior al pedido",IF(AND(G233&lt;&gt;"",G233&lt;C233),"Entrega anterior al pedido","")))))))</f>
        <v/>
      </c>
      <c r="U233" s="13" t="str">
        <f aca="false">IF(L233&lt;&gt;"Sí","",IF(M233="Dato pendiente","Poner fecha prevista y avisar al cliente",IF(M233="En plazo","Seguimiento normal",IF(J233="Listo para recoger","Recordar la recogida al cliente",IF(J233="Esperando pieza","Pedir fecha al proveedor y avisar al cliente",IF(J233="En taller","Revisar con el taller","Confirmar el pedido con el proveedor"))))))</f>
        <v/>
      </c>
      <c r="V233" s="29" t="str">
        <f aca="false">IF(M233="Dato pendiente",1000+ROW()/10000,IF(M233="Fuera de plazo",N233+ROW()/10000,""))</f>
        <v/>
      </c>
      <c r="W233" s="30" t="str">
        <f aca="false">IF(T233="","",ROW())</f>
        <v/>
      </c>
    </row>
    <row r="234" customFormat="false" ht="15" hidden="false" customHeight="false" outlineLevel="0" collapsed="false">
      <c r="A234" s="13"/>
      <c r="B234" s="13"/>
      <c r="C234" s="28"/>
      <c r="D234" s="13"/>
      <c r="E234" s="13"/>
      <c r="F234" s="28"/>
      <c r="G234" s="28"/>
      <c r="H234" s="21"/>
      <c r="I234" s="21"/>
      <c r="J234" s="13"/>
      <c r="K234" s="13" t="str">
        <f aca="false">IF(A234="","",IFERROR(INDEX(Clientes!$B$2:$B$200,MATCH(B234,Clientes!$A$2:$A$200,0)),"Cliente no registrado"))</f>
        <v/>
      </c>
      <c r="L234" s="13" t="str">
        <f aca="false">IF(A234="","",IF(OR(J234="Entregado",J234="Anulado"),"No","Sí"))</f>
        <v/>
      </c>
      <c r="M234" s="13" t="str">
        <f aca="false">IF(A234="","",IF(J234="Entregado","Entregado",IF(J234="Anulado","Anulado",IF(F234="","Dato pendiente",IF(F234&lt;Control!$C$4,"Fuera de plazo","En plazo")))))</f>
        <v/>
      </c>
      <c r="N234" s="13" t="str">
        <f aca="false">IF(M234="Fuera de plazo",Control!$C$4-F234,"")</f>
        <v/>
      </c>
      <c r="O234" s="13" t="str">
        <f aca="false">IF(M234="Fuera de plazo",IF(J234="Listo para recoger","Cliente (no recoge)","Tienda o proveedor"),"")</f>
        <v/>
      </c>
      <c r="P234" s="13" t="str">
        <f aca="false">IF(A234="","",COUNTIF(Incidencias!$B$2:$B$151,A234))</f>
        <v/>
      </c>
      <c r="Q234" s="13" t="str">
        <f aca="false">IF(A234="","",COUNTIFS(Incidencias!$B$2:$B$151,A234,Incidencias!$F$2:$F$151,"Abierta"))</f>
        <v/>
      </c>
      <c r="R234" s="21" t="str">
        <f aca="false">IF(L234="Sí",H234-I234,IF(A234="","",0))</f>
        <v/>
      </c>
      <c r="S234" s="13" t="str">
        <f aca="false">IF(AND(J234="Entregado",F234&lt;&gt;"",G234&lt;&gt;""),IF(G234&lt;=F234,"Sí","No"),"")</f>
        <v/>
      </c>
      <c r="T234" s="13" t="str">
        <f aca="false">IF(A234="","",IF(K234="Cliente no registrado","Cliente sin dar de alta",IF(F234="","Falta fecha prevista",IF(AND(J234="Entregado",G234=""),"Entregado sin fecha de entrega",IF(ISNA(MATCH(J234,Inicio!$Z$1:$Z$6,0)),"Estado no reconocido",IF(F234&lt;C234,"Prevista anterior al pedido",IF(AND(G234&lt;&gt;"",G234&lt;C234),"Entrega anterior al pedido","")))))))</f>
        <v/>
      </c>
      <c r="U234" s="13" t="str">
        <f aca="false">IF(L234&lt;&gt;"Sí","",IF(M234="Dato pendiente","Poner fecha prevista y avisar al cliente",IF(M234="En plazo","Seguimiento normal",IF(J234="Listo para recoger","Recordar la recogida al cliente",IF(J234="Esperando pieza","Pedir fecha al proveedor y avisar al cliente",IF(J234="En taller","Revisar con el taller","Confirmar el pedido con el proveedor"))))))</f>
        <v/>
      </c>
      <c r="V234" s="29" t="str">
        <f aca="false">IF(M234="Dato pendiente",1000+ROW()/10000,IF(M234="Fuera de plazo",N234+ROW()/10000,""))</f>
        <v/>
      </c>
      <c r="W234" s="30" t="str">
        <f aca="false">IF(T234="","",ROW())</f>
        <v/>
      </c>
    </row>
    <row r="235" customFormat="false" ht="15" hidden="false" customHeight="false" outlineLevel="0" collapsed="false">
      <c r="A235" s="13"/>
      <c r="B235" s="13"/>
      <c r="C235" s="28"/>
      <c r="D235" s="13"/>
      <c r="E235" s="13"/>
      <c r="F235" s="28"/>
      <c r="G235" s="28"/>
      <c r="H235" s="21"/>
      <c r="I235" s="21"/>
      <c r="J235" s="13"/>
      <c r="K235" s="13" t="str">
        <f aca="false">IF(A235="","",IFERROR(INDEX(Clientes!$B$2:$B$200,MATCH(B235,Clientes!$A$2:$A$200,0)),"Cliente no registrado"))</f>
        <v/>
      </c>
      <c r="L235" s="13" t="str">
        <f aca="false">IF(A235="","",IF(OR(J235="Entregado",J235="Anulado"),"No","Sí"))</f>
        <v/>
      </c>
      <c r="M235" s="13" t="str">
        <f aca="false">IF(A235="","",IF(J235="Entregado","Entregado",IF(J235="Anulado","Anulado",IF(F235="","Dato pendiente",IF(F235&lt;Control!$C$4,"Fuera de plazo","En plazo")))))</f>
        <v/>
      </c>
      <c r="N235" s="13" t="str">
        <f aca="false">IF(M235="Fuera de plazo",Control!$C$4-F235,"")</f>
        <v/>
      </c>
      <c r="O235" s="13" t="str">
        <f aca="false">IF(M235="Fuera de plazo",IF(J235="Listo para recoger","Cliente (no recoge)","Tienda o proveedor"),"")</f>
        <v/>
      </c>
      <c r="P235" s="13" t="str">
        <f aca="false">IF(A235="","",COUNTIF(Incidencias!$B$2:$B$151,A235))</f>
        <v/>
      </c>
      <c r="Q235" s="13" t="str">
        <f aca="false">IF(A235="","",COUNTIFS(Incidencias!$B$2:$B$151,A235,Incidencias!$F$2:$F$151,"Abierta"))</f>
        <v/>
      </c>
      <c r="R235" s="21" t="str">
        <f aca="false">IF(L235="Sí",H235-I235,IF(A235="","",0))</f>
        <v/>
      </c>
      <c r="S235" s="13" t="str">
        <f aca="false">IF(AND(J235="Entregado",F235&lt;&gt;"",G235&lt;&gt;""),IF(G235&lt;=F235,"Sí","No"),"")</f>
        <v/>
      </c>
      <c r="T235" s="13" t="str">
        <f aca="false">IF(A235="","",IF(K235="Cliente no registrado","Cliente sin dar de alta",IF(F235="","Falta fecha prevista",IF(AND(J235="Entregado",G235=""),"Entregado sin fecha de entrega",IF(ISNA(MATCH(J235,Inicio!$Z$1:$Z$6,0)),"Estado no reconocido",IF(F235&lt;C235,"Prevista anterior al pedido",IF(AND(G235&lt;&gt;"",G235&lt;C235),"Entrega anterior al pedido","")))))))</f>
        <v/>
      </c>
      <c r="U235" s="13" t="str">
        <f aca="false">IF(L235&lt;&gt;"Sí","",IF(M235="Dato pendiente","Poner fecha prevista y avisar al cliente",IF(M235="En plazo","Seguimiento normal",IF(J235="Listo para recoger","Recordar la recogida al cliente",IF(J235="Esperando pieza","Pedir fecha al proveedor y avisar al cliente",IF(J235="En taller","Revisar con el taller","Confirmar el pedido con el proveedor"))))))</f>
        <v/>
      </c>
      <c r="V235" s="29" t="str">
        <f aca="false">IF(M235="Dato pendiente",1000+ROW()/10000,IF(M235="Fuera de plazo",N235+ROW()/10000,""))</f>
        <v/>
      </c>
      <c r="W235" s="30" t="str">
        <f aca="false">IF(T235="","",ROW())</f>
        <v/>
      </c>
    </row>
    <row r="236" customFormat="false" ht="15" hidden="false" customHeight="false" outlineLevel="0" collapsed="false">
      <c r="A236" s="13"/>
      <c r="B236" s="13"/>
      <c r="C236" s="28"/>
      <c r="D236" s="13"/>
      <c r="E236" s="13"/>
      <c r="F236" s="28"/>
      <c r="G236" s="28"/>
      <c r="H236" s="21"/>
      <c r="I236" s="21"/>
      <c r="J236" s="13"/>
      <c r="K236" s="13" t="str">
        <f aca="false">IF(A236="","",IFERROR(INDEX(Clientes!$B$2:$B$200,MATCH(B236,Clientes!$A$2:$A$200,0)),"Cliente no registrado"))</f>
        <v/>
      </c>
      <c r="L236" s="13" t="str">
        <f aca="false">IF(A236="","",IF(OR(J236="Entregado",J236="Anulado"),"No","Sí"))</f>
        <v/>
      </c>
      <c r="M236" s="13" t="str">
        <f aca="false">IF(A236="","",IF(J236="Entregado","Entregado",IF(J236="Anulado","Anulado",IF(F236="","Dato pendiente",IF(F236&lt;Control!$C$4,"Fuera de plazo","En plazo")))))</f>
        <v/>
      </c>
      <c r="N236" s="13" t="str">
        <f aca="false">IF(M236="Fuera de plazo",Control!$C$4-F236,"")</f>
        <v/>
      </c>
      <c r="O236" s="13" t="str">
        <f aca="false">IF(M236="Fuera de plazo",IF(J236="Listo para recoger","Cliente (no recoge)","Tienda o proveedor"),"")</f>
        <v/>
      </c>
      <c r="P236" s="13" t="str">
        <f aca="false">IF(A236="","",COUNTIF(Incidencias!$B$2:$B$151,A236))</f>
        <v/>
      </c>
      <c r="Q236" s="13" t="str">
        <f aca="false">IF(A236="","",COUNTIFS(Incidencias!$B$2:$B$151,A236,Incidencias!$F$2:$F$151,"Abierta"))</f>
        <v/>
      </c>
      <c r="R236" s="21" t="str">
        <f aca="false">IF(L236="Sí",H236-I236,IF(A236="","",0))</f>
        <v/>
      </c>
      <c r="S236" s="13" t="str">
        <f aca="false">IF(AND(J236="Entregado",F236&lt;&gt;"",G236&lt;&gt;""),IF(G236&lt;=F236,"Sí","No"),"")</f>
        <v/>
      </c>
      <c r="T236" s="13" t="str">
        <f aca="false">IF(A236="","",IF(K236="Cliente no registrado","Cliente sin dar de alta",IF(F236="","Falta fecha prevista",IF(AND(J236="Entregado",G236=""),"Entregado sin fecha de entrega",IF(ISNA(MATCH(J236,Inicio!$Z$1:$Z$6,0)),"Estado no reconocido",IF(F236&lt;C236,"Prevista anterior al pedido",IF(AND(G236&lt;&gt;"",G236&lt;C236),"Entrega anterior al pedido","")))))))</f>
        <v/>
      </c>
      <c r="U236" s="13" t="str">
        <f aca="false">IF(L236&lt;&gt;"Sí","",IF(M236="Dato pendiente","Poner fecha prevista y avisar al cliente",IF(M236="En plazo","Seguimiento normal",IF(J236="Listo para recoger","Recordar la recogida al cliente",IF(J236="Esperando pieza","Pedir fecha al proveedor y avisar al cliente",IF(J236="En taller","Revisar con el taller","Confirmar el pedido con el proveedor"))))))</f>
        <v/>
      </c>
      <c r="V236" s="29" t="str">
        <f aca="false">IF(M236="Dato pendiente",1000+ROW()/10000,IF(M236="Fuera de plazo",N236+ROW()/10000,""))</f>
        <v/>
      </c>
      <c r="W236" s="30" t="str">
        <f aca="false">IF(T236="","",ROW())</f>
        <v/>
      </c>
    </row>
    <row r="237" customFormat="false" ht="15" hidden="false" customHeight="false" outlineLevel="0" collapsed="false">
      <c r="A237" s="13"/>
      <c r="B237" s="13"/>
      <c r="C237" s="28"/>
      <c r="D237" s="13"/>
      <c r="E237" s="13"/>
      <c r="F237" s="28"/>
      <c r="G237" s="28"/>
      <c r="H237" s="21"/>
      <c r="I237" s="21"/>
      <c r="J237" s="13"/>
      <c r="K237" s="13" t="str">
        <f aca="false">IF(A237="","",IFERROR(INDEX(Clientes!$B$2:$B$200,MATCH(B237,Clientes!$A$2:$A$200,0)),"Cliente no registrado"))</f>
        <v/>
      </c>
      <c r="L237" s="13" t="str">
        <f aca="false">IF(A237="","",IF(OR(J237="Entregado",J237="Anulado"),"No","Sí"))</f>
        <v/>
      </c>
      <c r="M237" s="13" t="str">
        <f aca="false">IF(A237="","",IF(J237="Entregado","Entregado",IF(J237="Anulado","Anulado",IF(F237="","Dato pendiente",IF(F237&lt;Control!$C$4,"Fuera de plazo","En plazo")))))</f>
        <v/>
      </c>
      <c r="N237" s="13" t="str">
        <f aca="false">IF(M237="Fuera de plazo",Control!$C$4-F237,"")</f>
        <v/>
      </c>
      <c r="O237" s="13" t="str">
        <f aca="false">IF(M237="Fuera de plazo",IF(J237="Listo para recoger","Cliente (no recoge)","Tienda o proveedor"),"")</f>
        <v/>
      </c>
      <c r="P237" s="13" t="str">
        <f aca="false">IF(A237="","",COUNTIF(Incidencias!$B$2:$B$151,A237))</f>
        <v/>
      </c>
      <c r="Q237" s="13" t="str">
        <f aca="false">IF(A237="","",COUNTIFS(Incidencias!$B$2:$B$151,A237,Incidencias!$F$2:$F$151,"Abierta"))</f>
        <v/>
      </c>
      <c r="R237" s="21" t="str">
        <f aca="false">IF(L237="Sí",H237-I237,IF(A237="","",0))</f>
        <v/>
      </c>
      <c r="S237" s="13" t="str">
        <f aca="false">IF(AND(J237="Entregado",F237&lt;&gt;"",G237&lt;&gt;""),IF(G237&lt;=F237,"Sí","No"),"")</f>
        <v/>
      </c>
      <c r="T237" s="13" t="str">
        <f aca="false">IF(A237="","",IF(K237="Cliente no registrado","Cliente sin dar de alta",IF(F237="","Falta fecha prevista",IF(AND(J237="Entregado",G237=""),"Entregado sin fecha de entrega",IF(ISNA(MATCH(J237,Inicio!$Z$1:$Z$6,0)),"Estado no reconocido",IF(F237&lt;C237,"Prevista anterior al pedido",IF(AND(G237&lt;&gt;"",G237&lt;C237),"Entrega anterior al pedido","")))))))</f>
        <v/>
      </c>
      <c r="U237" s="13" t="str">
        <f aca="false">IF(L237&lt;&gt;"Sí","",IF(M237="Dato pendiente","Poner fecha prevista y avisar al cliente",IF(M237="En plazo","Seguimiento normal",IF(J237="Listo para recoger","Recordar la recogida al cliente",IF(J237="Esperando pieza","Pedir fecha al proveedor y avisar al cliente",IF(J237="En taller","Revisar con el taller","Confirmar el pedido con el proveedor"))))))</f>
        <v/>
      </c>
      <c r="V237" s="29" t="str">
        <f aca="false">IF(M237="Dato pendiente",1000+ROW()/10000,IF(M237="Fuera de plazo",N237+ROW()/10000,""))</f>
        <v/>
      </c>
      <c r="W237" s="30" t="str">
        <f aca="false">IF(T237="","",ROW())</f>
        <v/>
      </c>
    </row>
    <row r="238" customFormat="false" ht="15" hidden="false" customHeight="false" outlineLevel="0" collapsed="false">
      <c r="A238" s="13"/>
      <c r="B238" s="13"/>
      <c r="C238" s="28"/>
      <c r="D238" s="13"/>
      <c r="E238" s="13"/>
      <c r="F238" s="28"/>
      <c r="G238" s="28"/>
      <c r="H238" s="21"/>
      <c r="I238" s="21"/>
      <c r="J238" s="13"/>
      <c r="K238" s="13" t="str">
        <f aca="false">IF(A238="","",IFERROR(INDEX(Clientes!$B$2:$B$200,MATCH(B238,Clientes!$A$2:$A$200,0)),"Cliente no registrado"))</f>
        <v/>
      </c>
      <c r="L238" s="13" t="str">
        <f aca="false">IF(A238="","",IF(OR(J238="Entregado",J238="Anulado"),"No","Sí"))</f>
        <v/>
      </c>
      <c r="M238" s="13" t="str">
        <f aca="false">IF(A238="","",IF(J238="Entregado","Entregado",IF(J238="Anulado","Anulado",IF(F238="","Dato pendiente",IF(F238&lt;Control!$C$4,"Fuera de plazo","En plazo")))))</f>
        <v/>
      </c>
      <c r="N238" s="13" t="str">
        <f aca="false">IF(M238="Fuera de plazo",Control!$C$4-F238,"")</f>
        <v/>
      </c>
      <c r="O238" s="13" t="str">
        <f aca="false">IF(M238="Fuera de plazo",IF(J238="Listo para recoger","Cliente (no recoge)","Tienda o proveedor"),"")</f>
        <v/>
      </c>
      <c r="P238" s="13" t="str">
        <f aca="false">IF(A238="","",COUNTIF(Incidencias!$B$2:$B$151,A238))</f>
        <v/>
      </c>
      <c r="Q238" s="13" t="str">
        <f aca="false">IF(A238="","",COUNTIFS(Incidencias!$B$2:$B$151,A238,Incidencias!$F$2:$F$151,"Abierta"))</f>
        <v/>
      </c>
      <c r="R238" s="21" t="str">
        <f aca="false">IF(L238="Sí",H238-I238,IF(A238="","",0))</f>
        <v/>
      </c>
      <c r="S238" s="13" t="str">
        <f aca="false">IF(AND(J238="Entregado",F238&lt;&gt;"",G238&lt;&gt;""),IF(G238&lt;=F238,"Sí","No"),"")</f>
        <v/>
      </c>
      <c r="T238" s="13" t="str">
        <f aca="false">IF(A238="","",IF(K238="Cliente no registrado","Cliente sin dar de alta",IF(F238="","Falta fecha prevista",IF(AND(J238="Entregado",G238=""),"Entregado sin fecha de entrega",IF(ISNA(MATCH(J238,Inicio!$Z$1:$Z$6,0)),"Estado no reconocido",IF(F238&lt;C238,"Prevista anterior al pedido",IF(AND(G238&lt;&gt;"",G238&lt;C238),"Entrega anterior al pedido","")))))))</f>
        <v/>
      </c>
      <c r="U238" s="13" t="str">
        <f aca="false">IF(L238&lt;&gt;"Sí","",IF(M238="Dato pendiente","Poner fecha prevista y avisar al cliente",IF(M238="En plazo","Seguimiento normal",IF(J238="Listo para recoger","Recordar la recogida al cliente",IF(J238="Esperando pieza","Pedir fecha al proveedor y avisar al cliente",IF(J238="En taller","Revisar con el taller","Confirmar el pedido con el proveedor"))))))</f>
        <v/>
      </c>
      <c r="V238" s="29" t="str">
        <f aca="false">IF(M238="Dato pendiente",1000+ROW()/10000,IF(M238="Fuera de plazo",N238+ROW()/10000,""))</f>
        <v/>
      </c>
      <c r="W238" s="30" t="str">
        <f aca="false">IF(T238="","",ROW())</f>
        <v/>
      </c>
    </row>
    <row r="239" customFormat="false" ht="15" hidden="false" customHeight="false" outlineLevel="0" collapsed="false">
      <c r="A239" s="13"/>
      <c r="B239" s="13"/>
      <c r="C239" s="28"/>
      <c r="D239" s="13"/>
      <c r="E239" s="13"/>
      <c r="F239" s="28"/>
      <c r="G239" s="28"/>
      <c r="H239" s="21"/>
      <c r="I239" s="21"/>
      <c r="J239" s="13"/>
      <c r="K239" s="13" t="str">
        <f aca="false">IF(A239="","",IFERROR(INDEX(Clientes!$B$2:$B$200,MATCH(B239,Clientes!$A$2:$A$200,0)),"Cliente no registrado"))</f>
        <v/>
      </c>
      <c r="L239" s="13" t="str">
        <f aca="false">IF(A239="","",IF(OR(J239="Entregado",J239="Anulado"),"No","Sí"))</f>
        <v/>
      </c>
      <c r="M239" s="13" t="str">
        <f aca="false">IF(A239="","",IF(J239="Entregado","Entregado",IF(J239="Anulado","Anulado",IF(F239="","Dato pendiente",IF(F239&lt;Control!$C$4,"Fuera de plazo","En plazo")))))</f>
        <v/>
      </c>
      <c r="N239" s="13" t="str">
        <f aca="false">IF(M239="Fuera de plazo",Control!$C$4-F239,"")</f>
        <v/>
      </c>
      <c r="O239" s="13" t="str">
        <f aca="false">IF(M239="Fuera de plazo",IF(J239="Listo para recoger","Cliente (no recoge)","Tienda o proveedor"),"")</f>
        <v/>
      </c>
      <c r="P239" s="13" t="str">
        <f aca="false">IF(A239="","",COUNTIF(Incidencias!$B$2:$B$151,A239))</f>
        <v/>
      </c>
      <c r="Q239" s="13" t="str">
        <f aca="false">IF(A239="","",COUNTIFS(Incidencias!$B$2:$B$151,A239,Incidencias!$F$2:$F$151,"Abierta"))</f>
        <v/>
      </c>
      <c r="R239" s="21" t="str">
        <f aca="false">IF(L239="Sí",H239-I239,IF(A239="","",0))</f>
        <v/>
      </c>
      <c r="S239" s="13" t="str">
        <f aca="false">IF(AND(J239="Entregado",F239&lt;&gt;"",G239&lt;&gt;""),IF(G239&lt;=F239,"Sí","No"),"")</f>
        <v/>
      </c>
      <c r="T239" s="13" t="str">
        <f aca="false">IF(A239="","",IF(K239="Cliente no registrado","Cliente sin dar de alta",IF(F239="","Falta fecha prevista",IF(AND(J239="Entregado",G239=""),"Entregado sin fecha de entrega",IF(ISNA(MATCH(J239,Inicio!$Z$1:$Z$6,0)),"Estado no reconocido",IF(F239&lt;C239,"Prevista anterior al pedido",IF(AND(G239&lt;&gt;"",G239&lt;C239),"Entrega anterior al pedido","")))))))</f>
        <v/>
      </c>
      <c r="U239" s="13" t="str">
        <f aca="false">IF(L239&lt;&gt;"Sí","",IF(M239="Dato pendiente","Poner fecha prevista y avisar al cliente",IF(M239="En plazo","Seguimiento normal",IF(J239="Listo para recoger","Recordar la recogida al cliente",IF(J239="Esperando pieza","Pedir fecha al proveedor y avisar al cliente",IF(J239="En taller","Revisar con el taller","Confirmar el pedido con el proveedor"))))))</f>
        <v/>
      </c>
      <c r="V239" s="29" t="str">
        <f aca="false">IF(M239="Dato pendiente",1000+ROW()/10000,IF(M239="Fuera de plazo",N239+ROW()/10000,""))</f>
        <v/>
      </c>
      <c r="W239" s="30" t="str">
        <f aca="false">IF(T239="","",ROW())</f>
        <v/>
      </c>
    </row>
    <row r="240" customFormat="false" ht="15" hidden="false" customHeight="false" outlineLevel="0" collapsed="false">
      <c r="A240" s="13"/>
      <c r="B240" s="13"/>
      <c r="C240" s="28"/>
      <c r="D240" s="13"/>
      <c r="E240" s="13"/>
      <c r="F240" s="28"/>
      <c r="G240" s="28"/>
      <c r="H240" s="21"/>
      <c r="I240" s="21"/>
      <c r="J240" s="13"/>
      <c r="K240" s="13" t="str">
        <f aca="false">IF(A240="","",IFERROR(INDEX(Clientes!$B$2:$B$200,MATCH(B240,Clientes!$A$2:$A$200,0)),"Cliente no registrado"))</f>
        <v/>
      </c>
      <c r="L240" s="13" t="str">
        <f aca="false">IF(A240="","",IF(OR(J240="Entregado",J240="Anulado"),"No","Sí"))</f>
        <v/>
      </c>
      <c r="M240" s="13" t="str">
        <f aca="false">IF(A240="","",IF(J240="Entregado","Entregado",IF(J240="Anulado","Anulado",IF(F240="","Dato pendiente",IF(F240&lt;Control!$C$4,"Fuera de plazo","En plazo")))))</f>
        <v/>
      </c>
      <c r="N240" s="13" t="str">
        <f aca="false">IF(M240="Fuera de plazo",Control!$C$4-F240,"")</f>
        <v/>
      </c>
      <c r="O240" s="13" t="str">
        <f aca="false">IF(M240="Fuera de plazo",IF(J240="Listo para recoger","Cliente (no recoge)","Tienda o proveedor"),"")</f>
        <v/>
      </c>
      <c r="P240" s="13" t="str">
        <f aca="false">IF(A240="","",COUNTIF(Incidencias!$B$2:$B$151,A240))</f>
        <v/>
      </c>
      <c r="Q240" s="13" t="str">
        <f aca="false">IF(A240="","",COUNTIFS(Incidencias!$B$2:$B$151,A240,Incidencias!$F$2:$F$151,"Abierta"))</f>
        <v/>
      </c>
      <c r="R240" s="21" t="str">
        <f aca="false">IF(L240="Sí",H240-I240,IF(A240="","",0))</f>
        <v/>
      </c>
      <c r="S240" s="13" t="str">
        <f aca="false">IF(AND(J240="Entregado",F240&lt;&gt;"",G240&lt;&gt;""),IF(G240&lt;=F240,"Sí","No"),"")</f>
        <v/>
      </c>
      <c r="T240" s="13" t="str">
        <f aca="false">IF(A240="","",IF(K240="Cliente no registrado","Cliente sin dar de alta",IF(F240="","Falta fecha prevista",IF(AND(J240="Entregado",G240=""),"Entregado sin fecha de entrega",IF(ISNA(MATCH(J240,Inicio!$Z$1:$Z$6,0)),"Estado no reconocido",IF(F240&lt;C240,"Prevista anterior al pedido",IF(AND(G240&lt;&gt;"",G240&lt;C240),"Entrega anterior al pedido","")))))))</f>
        <v/>
      </c>
      <c r="U240" s="13" t="str">
        <f aca="false">IF(L240&lt;&gt;"Sí","",IF(M240="Dato pendiente","Poner fecha prevista y avisar al cliente",IF(M240="En plazo","Seguimiento normal",IF(J240="Listo para recoger","Recordar la recogida al cliente",IF(J240="Esperando pieza","Pedir fecha al proveedor y avisar al cliente",IF(J240="En taller","Revisar con el taller","Confirmar el pedido con el proveedor"))))))</f>
        <v/>
      </c>
      <c r="V240" s="29" t="str">
        <f aca="false">IF(M240="Dato pendiente",1000+ROW()/10000,IF(M240="Fuera de plazo",N240+ROW()/10000,""))</f>
        <v/>
      </c>
      <c r="W240" s="30" t="str">
        <f aca="false">IF(T240="","",ROW())</f>
        <v/>
      </c>
    </row>
    <row r="241" customFormat="false" ht="15" hidden="false" customHeight="false" outlineLevel="0" collapsed="false">
      <c r="A241" s="13"/>
      <c r="B241" s="13"/>
      <c r="C241" s="28"/>
      <c r="D241" s="13"/>
      <c r="E241" s="13"/>
      <c r="F241" s="28"/>
      <c r="G241" s="28"/>
      <c r="H241" s="21"/>
      <c r="I241" s="21"/>
      <c r="J241" s="13"/>
      <c r="K241" s="13" t="str">
        <f aca="false">IF(A241="","",IFERROR(INDEX(Clientes!$B$2:$B$200,MATCH(B241,Clientes!$A$2:$A$200,0)),"Cliente no registrado"))</f>
        <v/>
      </c>
      <c r="L241" s="13" t="str">
        <f aca="false">IF(A241="","",IF(OR(J241="Entregado",J241="Anulado"),"No","Sí"))</f>
        <v/>
      </c>
      <c r="M241" s="13" t="str">
        <f aca="false">IF(A241="","",IF(J241="Entregado","Entregado",IF(J241="Anulado","Anulado",IF(F241="","Dato pendiente",IF(F241&lt;Control!$C$4,"Fuera de plazo","En plazo")))))</f>
        <v/>
      </c>
      <c r="N241" s="13" t="str">
        <f aca="false">IF(M241="Fuera de plazo",Control!$C$4-F241,"")</f>
        <v/>
      </c>
      <c r="O241" s="13" t="str">
        <f aca="false">IF(M241="Fuera de plazo",IF(J241="Listo para recoger","Cliente (no recoge)","Tienda o proveedor"),"")</f>
        <v/>
      </c>
      <c r="P241" s="13" t="str">
        <f aca="false">IF(A241="","",COUNTIF(Incidencias!$B$2:$B$151,A241))</f>
        <v/>
      </c>
      <c r="Q241" s="13" t="str">
        <f aca="false">IF(A241="","",COUNTIFS(Incidencias!$B$2:$B$151,A241,Incidencias!$F$2:$F$151,"Abierta"))</f>
        <v/>
      </c>
      <c r="R241" s="21" t="str">
        <f aca="false">IF(L241="Sí",H241-I241,IF(A241="","",0))</f>
        <v/>
      </c>
      <c r="S241" s="13" t="str">
        <f aca="false">IF(AND(J241="Entregado",F241&lt;&gt;"",G241&lt;&gt;""),IF(G241&lt;=F241,"Sí","No"),"")</f>
        <v/>
      </c>
      <c r="T241" s="13" t="str">
        <f aca="false">IF(A241="","",IF(K241="Cliente no registrado","Cliente sin dar de alta",IF(F241="","Falta fecha prevista",IF(AND(J241="Entregado",G241=""),"Entregado sin fecha de entrega",IF(ISNA(MATCH(J241,Inicio!$Z$1:$Z$6,0)),"Estado no reconocido",IF(F241&lt;C241,"Prevista anterior al pedido",IF(AND(G241&lt;&gt;"",G241&lt;C241),"Entrega anterior al pedido","")))))))</f>
        <v/>
      </c>
      <c r="U241" s="13" t="str">
        <f aca="false">IF(L241&lt;&gt;"Sí","",IF(M241="Dato pendiente","Poner fecha prevista y avisar al cliente",IF(M241="En plazo","Seguimiento normal",IF(J241="Listo para recoger","Recordar la recogida al cliente",IF(J241="Esperando pieza","Pedir fecha al proveedor y avisar al cliente",IF(J241="En taller","Revisar con el taller","Confirmar el pedido con el proveedor"))))))</f>
        <v/>
      </c>
      <c r="V241" s="29" t="str">
        <f aca="false">IF(M241="Dato pendiente",1000+ROW()/10000,IF(M241="Fuera de plazo",N241+ROW()/10000,""))</f>
        <v/>
      </c>
      <c r="W241" s="30" t="str">
        <f aca="false">IF(T241="","",ROW())</f>
        <v/>
      </c>
    </row>
    <row r="242" customFormat="false" ht="15" hidden="false" customHeight="false" outlineLevel="0" collapsed="false">
      <c r="A242" s="13"/>
      <c r="B242" s="13"/>
      <c r="C242" s="28"/>
      <c r="D242" s="13"/>
      <c r="E242" s="13"/>
      <c r="F242" s="28"/>
      <c r="G242" s="28"/>
      <c r="H242" s="21"/>
      <c r="I242" s="21"/>
      <c r="J242" s="13"/>
      <c r="K242" s="13" t="str">
        <f aca="false">IF(A242="","",IFERROR(INDEX(Clientes!$B$2:$B$200,MATCH(B242,Clientes!$A$2:$A$200,0)),"Cliente no registrado"))</f>
        <v/>
      </c>
      <c r="L242" s="13" t="str">
        <f aca="false">IF(A242="","",IF(OR(J242="Entregado",J242="Anulado"),"No","Sí"))</f>
        <v/>
      </c>
      <c r="M242" s="13" t="str">
        <f aca="false">IF(A242="","",IF(J242="Entregado","Entregado",IF(J242="Anulado","Anulado",IF(F242="","Dato pendiente",IF(F242&lt;Control!$C$4,"Fuera de plazo","En plazo")))))</f>
        <v/>
      </c>
      <c r="N242" s="13" t="str">
        <f aca="false">IF(M242="Fuera de plazo",Control!$C$4-F242,"")</f>
        <v/>
      </c>
      <c r="O242" s="13" t="str">
        <f aca="false">IF(M242="Fuera de plazo",IF(J242="Listo para recoger","Cliente (no recoge)","Tienda o proveedor"),"")</f>
        <v/>
      </c>
      <c r="P242" s="13" t="str">
        <f aca="false">IF(A242="","",COUNTIF(Incidencias!$B$2:$B$151,A242))</f>
        <v/>
      </c>
      <c r="Q242" s="13" t="str">
        <f aca="false">IF(A242="","",COUNTIFS(Incidencias!$B$2:$B$151,A242,Incidencias!$F$2:$F$151,"Abierta"))</f>
        <v/>
      </c>
      <c r="R242" s="21" t="str">
        <f aca="false">IF(L242="Sí",H242-I242,IF(A242="","",0))</f>
        <v/>
      </c>
      <c r="S242" s="13" t="str">
        <f aca="false">IF(AND(J242="Entregado",F242&lt;&gt;"",G242&lt;&gt;""),IF(G242&lt;=F242,"Sí","No"),"")</f>
        <v/>
      </c>
      <c r="T242" s="13" t="str">
        <f aca="false">IF(A242="","",IF(K242="Cliente no registrado","Cliente sin dar de alta",IF(F242="","Falta fecha prevista",IF(AND(J242="Entregado",G242=""),"Entregado sin fecha de entrega",IF(ISNA(MATCH(J242,Inicio!$Z$1:$Z$6,0)),"Estado no reconocido",IF(F242&lt;C242,"Prevista anterior al pedido",IF(AND(G242&lt;&gt;"",G242&lt;C242),"Entrega anterior al pedido","")))))))</f>
        <v/>
      </c>
      <c r="U242" s="13" t="str">
        <f aca="false">IF(L242&lt;&gt;"Sí","",IF(M242="Dato pendiente","Poner fecha prevista y avisar al cliente",IF(M242="En plazo","Seguimiento normal",IF(J242="Listo para recoger","Recordar la recogida al cliente",IF(J242="Esperando pieza","Pedir fecha al proveedor y avisar al cliente",IF(J242="En taller","Revisar con el taller","Confirmar el pedido con el proveedor"))))))</f>
        <v/>
      </c>
      <c r="V242" s="29" t="str">
        <f aca="false">IF(M242="Dato pendiente",1000+ROW()/10000,IF(M242="Fuera de plazo",N242+ROW()/10000,""))</f>
        <v/>
      </c>
      <c r="W242" s="30" t="str">
        <f aca="false">IF(T242="","",ROW())</f>
        <v/>
      </c>
    </row>
    <row r="243" customFormat="false" ht="15" hidden="false" customHeight="false" outlineLevel="0" collapsed="false">
      <c r="A243" s="13"/>
      <c r="B243" s="13"/>
      <c r="C243" s="28"/>
      <c r="D243" s="13"/>
      <c r="E243" s="13"/>
      <c r="F243" s="28"/>
      <c r="G243" s="28"/>
      <c r="H243" s="21"/>
      <c r="I243" s="21"/>
      <c r="J243" s="13"/>
      <c r="K243" s="13" t="str">
        <f aca="false">IF(A243="","",IFERROR(INDEX(Clientes!$B$2:$B$200,MATCH(B243,Clientes!$A$2:$A$200,0)),"Cliente no registrado"))</f>
        <v/>
      </c>
      <c r="L243" s="13" t="str">
        <f aca="false">IF(A243="","",IF(OR(J243="Entregado",J243="Anulado"),"No","Sí"))</f>
        <v/>
      </c>
      <c r="M243" s="13" t="str">
        <f aca="false">IF(A243="","",IF(J243="Entregado","Entregado",IF(J243="Anulado","Anulado",IF(F243="","Dato pendiente",IF(F243&lt;Control!$C$4,"Fuera de plazo","En plazo")))))</f>
        <v/>
      </c>
      <c r="N243" s="13" t="str">
        <f aca="false">IF(M243="Fuera de plazo",Control!$C$4-F243,"")</f>
        <v/>
      </c>
      <c r="O243" s="13" t="str">
        <f aca="false">IF(M243="Fuera de plazo",IF(J243="Listo para recoger","Cliente (no recoge)","Tienda o proveedor"),"")</f>
        <v/>
      </c>
      <c r="P243" s="13" t="str">
        <f aca="false">IF(A243="","",COUNTIF(Incidencias!$B$2:$B$151,A243))</f>
        <v/>
      </c>
      <c r="Q243" s="13" t="str">
        <f aca="false">IF(A243="","",COUNTIFS(Incidencias!$B$2:$B$151,A243,Incidencias!$F$2:$F$151,"Abierta"))</f>
        <v/>
      </c>
      <c r="R243" s="21" t="str">
        <f aca="false">IF(L243="Sí",H243-I243,IF(A243="","",0))</f>
        <v/>
      </c>
      <c r="S243" s="13" t="str">
        <f aca="false">IF(AND(J243="Entregado",F243&lt;&gt;"",G243&lt;&gt;""),IF(G243&lt;=F243,"Sí","No"),"")</f>
        <v/>
      </c>
      <c r="T243" s="13" t="str">
        <f aca="false">IF(A243="","",IF(K243="Cliente no registrado","Cliente sin dar de alta",IF(F243="","Falta fecha prevista",IF(AND(J243="Entregado",G243=""),"Entregado sin fecha de entrega",IF(ISNA(MATCH(J243,Inicio!$Z$1:$Z$6,0)),"Estado no reconocido",IF(F243&lt;C243,"Prevista anterior al pedido",IF(AND(G243&lt;&gt;"",G243&lt;C243),"Entrega anterior al pedido","")))))))</f>
        <v/>
      </c>
      <c r="U243" s="13" t="str">
        <f aca="false">IF(L243&lt;&gt;"Sí","",IF(M243="Dato pendiente","Poner fecha prevista y avisar al cliente",IF(M243="En plazo","Seguimiento normal",IF(J243="Listo para recoger","Recordar la recogida al cliente",IF(J243="Esperando pieza","Pedir fecha al proveedor y avisar al cliente",IF(J243="En taller","Revisar con el taller","Confirmar el pedido con el proveedor"))))))</f>
        <v/>
      </c>
      <c r="V243" s="29" t="str">
        <f aca="false">IF(M243="Dato pendiente",1000+ROW()/10000,IF(M243="Fuera de plazo",N243+ROW()/10000,""))</f>
        <v/>
      </c>
      <c r="W243" s="30" t="str">
        <f aca="false">IF(T243="","",ROW())</f>
        <v/>
      </c>
    </row>
    <row r="244" customFormat="false" ht="15" hidden="false" customHeight="false" outlineLevel="0" collapsed="false">
      <c r="A244" s="13"/>
      <c r="B244" s="13"/>
      <c r="C244" s="28"/>
      <c r="D244" s="13"/>
      <c r="E244" s="13"/>
      <c r="F244" s="28"/>
      <c r="G244" s="28"/>
      <c r="H244" s="21"/>
      <c r="I244" s="21"/>
      <c r="J244" s="13"/>
      <c r="K244" s="13" t="str">
        <f aca="false">IF(A244="","",IFERROR(INDEX(Clientes!$B$2:$B$200,MATCH(B244,Clientes!$A$2:$A$200,0)),"Cliente no registrado"))</f>
        <v/>
      </c>
      <c r="L244" s="13" t="str">
        <f aca="false">IF(A244="","",IF(OR(J244="Entregado",J244="Anulado"),"No","Sí"))</f>
        <v/>
      </c>
      <c r="M244" s="13" t="str">
        <f aca="false">IF(A244="","",IF(J244="Entregado","Entregado",IF(J244="Anulado","Anulado",IF(F244="","Dato pendiente",IF(F244&lt;Control!$C$4,"Fuera de plazo","En plazo")))))</f>
        <v/>
      </c>
      <c r="N244" s="13" t="str">
        <f aca="false">IF(M244="Fuera de plazo",Control!$C$4-F244,"")</f>
        <v/>
      </c>
      <c r="O244" s="13" t="str">
        <f aca="false">IF(M244="Fuera de plazo",IF(J244="Listo para recoger","Cliente (no recoge)","Tienda o proveedor"),"")</f>
        <v/>
      </c>
      <c r="P244" s="13" t="str">
        <f aca="false">IF(A244="","",COUNTIF(Incidencias!$B$2:$B$151,A244))</f>
        <v/>
      </c>
      <c r="Q244" s="13" t="str">
        <f aca="false">IF(A244="","",COUNTIFS(Incidencias!$B$2:$B$151,A244,Incidencias!$F$2:$F$151,"Abierta"))</f>
        <v/>
      </c>
      <c r="R244" s="21" t="str">
        <f aca="false">IF(L244="Sí",H244-I244,IF(A244="","",0))</f>
        <v/>
      </c>
      <c r="S244" s="13" t="str">
        <f aca="false">IF(AND(J244="Entregado",F244&lt;&gt;"",G244&lt;&gt;""),IF(G244&lt;=F244,"Sí","No"),"")</f>
        <v/>
      </c>
      <c r="T244" s="13" t="str">
        <f aca="false">IF(A244="","",IF(K244="Cliente no registrado","Cliente sin dar de alta",IF(F244="","Falta fecha prevista",IF(AND(J244="Entregado",G244=""),"Entregado sin fecha de entrega",IF(ISNA(MATCH(J244,Inicio!$Z$1:$Z$6,0)),"Estado no reconocido",IF(F244&lt;C244,"Prevista anterior al pedido",IF(AND(G244&lt;&gt;"",G244&lt;C244),"Entrega anterior al pedido","")))))))</f>
        <v/>
      </c>
      <c r="U244" s="13" t="str">
        <f aca="false">IF(L244&lt;&gt;"Sí","",IF(M244="Dato pendiente","Poner fecha prevista y avisar al cliente",IF(M244="En plazo","Seguimiento normal",IF(J244="Listo para recoger","Recordar la recogida al cliente",IF(J244="Esperando pieza","Pedir fecha al proveedor y avisar al cliente",IF(J244="En taller","Revisar con el taller","Confirmar el pedido con el proveedor"))))))</f>
        <v/>
      </c>
      <c r="V244" s="29" t="str">
        <f aca="false">IF(M244="Dato pendiente",1000+ROW()/10000,IF(M244="Fuera de plazo",N244+ROW()/10000,""))</f>
        <v/>
      </c>
      <c r="W244" s="30" t="str">
        <f aca="false">IF(T244="","",ROW())</f>
        <v/>
      </c>
    </row>
    <row r="245" customFormat="false" ht="15" hidden="false" customHeight="false" outlineLevel="0" collapsed="false">
      <c r="A245" s="13"/>
      <c r="B245" s="13"/>
      <c r="C245" s="28"/>
      <c r="D245" s="13"/>
      <c r="E245" s="13"/>
      <c r="F245" s="28"/>
      <c r="G245" s="28"/>
      <c r="H245" s="21"/>
      <c r="I245" s="21"/>
      <c r="J245" s="13"/>
      <c r="K245" s="13" t="str">
        <f aca="false">IF(A245="","",IFERROR(INDEX(Clientes!$B$2:$B$200,MATCH(B245,Clientes!$A$2:$A$200,0)),"Cliente no registrado"))</f>
        <v/>
      </c>
      <c r="L245" s="13" t="str">
        <f aca="false">IF(A245="","",IF(OR(J245="Entregado",J245="Anulado"),"No","Sí"))</f>
        <v/>
      </c>
      <c r="M245" s="13" t="str">
        <f aca="false">IF(A245="","",IF(J245="Entregado","Entregado",IF(J245="Anulado","Anulado",IF(F245="","Dato pendiente",IF(F245&lt;Control!$C$4,"Fuera de plazo","En plazo")))))</f>
        <v/>
      </c>
      <c r="N245" s="13" t="str">
        <f aca="false">IF(M245="Fuera de plazo",Control!$C$4-F245,"")</f>
        <v/>
      </c>
      <c r="O245" s="13" t="str">
        <f aca="false">IF(M245="Fuera de plazo",IF(J245="Listo para recoger","Cliente (no recoge)","Tienda o proveedor"),"")</f>
        <v/>
      </c>
      <c r="P245" s="13" t="str">
        <f aca="false">IF(A245="","",COUNTIF(Incidencias!$B$2:$B$151,A245))</f>
        <v/>
      </c>
      <c r="Q245" s="13" t="str">
        <f aca="false">IF(A245="","",COUNTIFS(Incidencias!$B$2:$B$151,A245,Incidencias!$F$2:$F$151,"Abierta"))</f>
        <v/>
      </c>
      <c r="R245" s="21" t="str">
        <f aca="false">IF(L245="Sí",H245-I245,IF(A245="","",0))</f>
        <v/>
      </c>
      <c r="S245" s="13" t="str">
        <f aca="false">IF(AND(J245="Entregado",F245&lt;&gt;"",G245&lt;&gt;""),IF(G245&lt;=F245,"Sí","No"),"")</f>
        <v/>
      </c>
      <c r="T245" s="13" t="str">
        <f aca="false">IF(A245="","",IF(K245="Cliente no registrado","Cliente sin dar de alta",IF(F245="","Falta fecha prevista",IF(AND(J245="Entregado",G245=""),"Entregado sin fecha de entrega",IF(ISNA(MATCH(J245,Inicio!$Z$1:$Z$6,0)),"Estado no reconocido",IF(F245&lt;C245,"Prevista anterior al pedido",IF(AND(G245&lt;&gt;"",G245&lt;C245),"Entrega anterior al pedido","")))))))</f>
        <v/>
      </c>
      <c r="U245" s="13" t="str">
        <f aca="false">IF(L245&lt;&gt;"Sí","",IF(M245="Dato pendiente","Poner fecha prevista y avisar al cliente",IF(M245="En plazo","Seguimiento normal",IF(J245="Listo para recoger","Recordar la recogida al cliente",IF(J245="Esperando pieza","Pedir fecha al proveedor y avisar al cliente",IF(J245="En taller","Revisar con el taller","Confirmar el pedido con el proveedor"))))))</f>
        <v/>
      </c>
      <c r="V245" s="29" t="str">
        <f aca="false">IF(M245="Dato pendiente",1000+ROW()/10000,IF(M245="Fuera de plazo",N245+ROW()/10000,""))</f>
        <v/>
      </c>
      <c r="W245" s="30" t="str">
        <f aca="false">IF(T245="","",ROW())</f>
        <v/>
      </c>
    </row>
    <row r="246" customFormat="false" ht="15" hidden="false" customHeight="false" outlineLevel="0" collapsed="false">
      <c r="A246" s="13"/>
      <c r="B246" s="13"/>
      <c r="C246" s="28"/>
      <c r="D246" s="13"/>
      <c r="E246" s="13"/>
      <c r="F246" s="28"/>
      <c r="G246" s="28"/>
      <c r="H246" s="21"/>
      <c r="I246" s="21"/>
      <c r="J246" s="13"/>
      <c r="K246" s="13" t="str">
        <f aca="false">IF(A246="","",IFERROR(INDEX(Clientes!$B$2:$B$200,MATCH(B246,Clientes!$A$2:$A$200,0)),"Cliente no registrado"))</f>
        <v/>
      </c>
      <c r="L246" s="13" t="str">
        <f aca="false">IF(A246="","",IF(OR(J246="Entregado",J246="Anulado"),"No","Sí"))</f>
        <v/>
      </c>
      <c r="M246" s="13" t="str">
        <f aca="false">IF(A246="","",IF(J246="Entregado","Entregado",IF(J246="Anulado","Anulado",IF(F246="","Dato pendiente",IF(F246&lt;Control!$C$4,"Fuera de plazo","En plazo")))))</f>
        <v/>
      </c>
      <c r="N246" s="13" t="str">
        <f aca="false">IF(M246="Fuera de plazo",Control!$C$4-F246,"")</f>
        <v/>
      </c>
      <c r="O246" s="13" t="str">
        <f aca="false">IF(M246="Fuera de plazo",IF(J246="Listo para recoger","Cliente (no recoge)","Tienda o proveedor"),"")</f>
        <v/>
      </c>
      <c r="P246" s="13" t="str">
        <f aca="false">IF(A246="","",COUNTIF(Incidencias!$B$2:$B$151,A246))</f>
        <v/>
      </c>
      <c r="Q246" s="13" t="str">
        <f aca="false">IF(A246="","",COUNTIFS(Incidencias!$B$2:$B$151,A246,Incidencias!$F$2:$F$151,"Abierta"))</f>
        <v/>
      </c>
      <c r="R246" s="21" t="str">
        <f aca="false">IF(L246="Sí",H246-I246,IF(A246="","",0))</f>
        <v/>
      </c>
      <c r="S246" s="13" t="str">
        <f aca="false">IF(AND(J246="Entregado",F246&lt;&gt;"",G246&lt;&gt;""),IF(G246&lt;=F246,"Sí","No"),"")</f>
        <v/>
      </c>
      <c r="T246" s="13" t="str">
        <f aca="false">IF(A246="","",IF(K246="Cliente no registrado","Cliente sin dar de alta",IF(F246="","Falta fecha prevista",IF(AND(J246="Entregado",G246=""),"Entregado sin fecha de entrega",IF(ISNA(MATCH(J246,Inicio!$Z$1:$Z$6,0)),"Estado no reconocido",IF(F246&lt;C246,"Prevista anterior al pedido",IF(AND(G246&lt;&gt;"",G246&lt;C246),"Entrega anterior al pedido","")))))))</f>
        <v/>
      </c>
      <c r="U246" s="13" t="str">
        <f aca="false">IF(L246&lt;&gt;"Sí","",IF(M246="Dato pendiente","Poner fecha prevista y avisar al cliente",IF(M246="En plazo","Seguimiento normal",IF(J246="Listo para recoger","Recordar la recogida al cliente",IF(J246="Esperando pieza","Pedir fecha al proveedor y avisar al cliente",IF(J246="En taller","Revisar con el taller","Confirmar el pedido con el proveedor"))))))</f>
        <v/>
      </c>
      <c r="V246" s="29" t="str">
        <f aca="false">IF(M246="Dato pendiente",1000+ROW()/10000,IF(M246="Fuera de plazo",N246+ROW()/10000,""))</f>
        <v/>
      </c>
      <c r="W246" s="30" t="str">
        <f aca="false">IF(T246="","",ROW())</f>
        <v/>
      </c>
    </row>
    <row r="247" customFormat="false" ht="15" hidden="false" customHeight="false" outlineLevel="0" collapsed="false">
      <c r="A247" s="13"/>
      <c r="B247" s="13"/>
      <c r="C247" s="28"/>
      <c r="D247" s="13"/>
      <c r="E247" s="13"/>
      <c r="F247" s="28"/>
      <c r="G247" s="28"/>
      <c r="H247" s="21"/>
      <c r="I247" s="21"/>
      <c r="J247" s="13"/>
      <c r="K247" s="13" t="str">
        <f aca="false">IF(A247="","",IFERROR(INDEX(Clientes!$B$2:$B$200,MATCH(B247,Clientes!$A$2:$A$200,0)),"Cliente no registrado"))</f>
        <v/>
      </c>
      <c r="L247" s="13" t="str">
        <f aca="false">IF(A247="","",IF(OR(J247="Entregado",J247="Anulado"),"No","Sí"))</f>
        <v/>
      </c>
      <c r="M247" s="13" t="str">
        <f aca="false">IF(A247="","",IF(J247="Entregado","Entregado",IF(J247="Anulado","Anulado",IF(F247="","Dato pendiente",IF(F247&lt;Control!$C$4,"Fuera de plazo","En plazo")))))</f>
        <v/>
      </c>
      <c r="N247" s="13" t="str">
        <f aca="false">IF(M247="Fuera de plazo",Control!$C$4-F247,"")</f>
        <v/>
      </c>
      <c r="O247" s="13" t="str">
        <f aca="false">IF(M247="Fuera de plazo",IF(J247="Listo para recoger","Cliente (no recoge)","Tienda o proveedor"),"")</f>
        <v/>
      </c>
      <c r="P247" s="13" t="str">
        <f aca="false">IF(A247="","",COUNTIF(Incidencias!$B$2:$B$151,A247))</f>
        <v/>
      </c>
      <c r="Q247" s="13" t="str">
        <f aca="false">IF(A247="","",COUNTIFS(Incidencias!$B$2:$B$151,A247,Incidencias!$F$2:$F$151,"Abierta"))</f>
        <v/>
      </c>
      <c r="R247" s="21" t="str">
        <f aca="false">IF(L247="Sí",H247-I247,IF(A247="","",0))</f>
        <v/>
      </c>
      <c r="S247" s="13" t="str">
        <f aca="false">IF(AND(J247="Entregado",F247&lt;&gt;"",G247&lt;&gt;""),IF(G247&lt;=F247,"Sí","No"),"")</f>
        <v/>
      </c>
      <c r="T247" s="13" t="str">
        <f aca="false">IF(A247="","",IF(K247="Cliente no registrado","Cliente sin dar de alta",IF(F247="","Falta fecha prevista",IF(AND(J247="Entregado",G247=""),"Entregado sin fecha de entrega",IF(ISNA(MATCH(J247,Inicio!$Z$1:$Z$6,0)),"Estado no reconocido",IF(F247&lt;C247,"Prevista anterior al pedido",IF(AND(G247&lt;&gt;"",G247&lt;C247),"Entrega anterior al pedido","")))))))</f>
        <v/>
      </c>
      <c r="U247" s="13" t="str">
        <f aca="false">IF(L247&lt;&gt;"Sí","",IF(M247="Dato pendiente","Poner fecha prevista y avisar al cliente",IF(M247="En plazo","Seguimiento normal",IF(J247="Listo para recoger","Recordar la recogida al cliente",IF(J247="Esperando pieza","Pedir fecha al proveedor y avisar al cliente",IF(J247="En taller","Revisar con el taller","Confirmar el pedido con el proveedor"))))))</f>
        <v/>
      </c>
      <c r="V247" s="29" t="str">
        <f aca="false">IF(M247="Dato pendiente",1000+ROW()/10000,IF(M247="Fuera de plazo",N247+ROW()/10000,""))</f>
        <v/>
      </c>
      <c r="W247" s="30" t="str">
        <f aca="false">IF(T247="","",ROW())</f>
        <v/>
      </c>
    </row>
    <row r="248" customFormat="false" ht="15" hidden="false" customHeight="false" outlineLevel="0" collapsed="false">
      <c r="A248" s="13"/>
      <c r="B248" s="13"/>
      <c r="C248" s="28"/>
      <c r="D248" s="13"/>
      <c r="E248" s="13"/>
      <c r="F248" s="28"/>
      <c r="G248" s="28"/>
      <c r="H248" s="21"/>
      <c r="I248" s="21"/>
      <c r="J248" s="13"/>
      <c r="K248" s="13" t="str">
        <f aca="false">IF(A248="","",IFERROR(INDEX(Clientes!$B$2:$B$200,MATCH(B248,Clientes!$A$2:$A$200,0)),"Cliente no registrado"))</f>
        <v/>
      </c>
      <c r="L248" s="13" t="str">
        <f aca="false">IF(A248="","",IF(OR(J248="Entregado",J248="Anulado"),"No","Sí"))</f>
        <v/>
      </c>
      <c r="M248" s="13" t="str">
        <f aca="false">IF(A248="","",IF(J248="Entregado","Entregado",IF(J248="Anulado","Anulado",IF(F248="","Dato pendiente",IF(F248&lt;Control!$C$4,"Fuera de plazo","En plazo")))))</f>
        <v/>
      </c>
      <c r="N248" s="13" t="str">
        <f aca="false">IF(M248="Fuera de plazo",Control!$C$4-F248,"")</f>
        <v/>
      </c>
      <c r="O248" s="13" t="str">
        <f aca="false">IF(M248="Fuera de plazo",IF(J248="Listo para recoger","Cliente (no recoge)","Tienda o proveedor"),"")</f>
        <v/>
      </c>
      <c r="P248" s="13" t="str">
        <f aca="false">IF(A248="","",COUNTIF(Incidencias!$B$2:$B$151,A248))</f>
        <v/>
      </c>
      <c r="Q248" s="13" t="str">
        <f aca="false">IF(A248="","",COUNTIFS(Incidencias!$B$2:$B$151,A248,Incidencias!$F$2:$F$151,"Abierta"))</f>
        <v/>
      </c>
      <c r="R248" s="21" t="str">
        <f aca="false">IF(L248="Sí",H248-I248,IF(A248="","",0))</f>
        <v/>
      </c>
      <c r="S248" s="13" t="str">
        <f aca="false">IF(AND(J248="Entregado",F248&lt;&gt;"",G248&lt;&gt;""),IF(G248&lt;=F248,"Sí","No"),"")</f>
        <v/>
      </c>
      <c r="T248" s="13" t="str">
        <f aca="false">IF(A248="","",IF(K248="Cliente no registrado","Cliente sin dar de alta",IF(F248="","Falta fecha prevista",IF(AND(J248="Entregado",G248=""),"Entregado sin fecha de entrega",IF(ISNA(MATCH(J248,Inicio!$Z$1:$Z$6,0)),"Estado no reconocido",IF(F248&lt;C248,"Prevista anterior al pedido",IF(AND(G248&lt;&gt;"",G248&lt;C248),"Entrega anterior al pedido","")))))))</f>
        <v/>
      </c>
      <c r="U248" s="13" t="str">
        <f aca="false">IF(L248&lt;&gt;"Sí","",IF(M248="Dato pendiente","Poner fecha prevista y avisar al cliente",IF(M248="En plazo","Seguimiento normal",IF(J248="Listo para recoger","Recordar la recogida al cliente",IF(J248="Esperando pieza","Pedir fecha al proveedor y avisar al cliente",IF(J248="En taller","Revisar con el taller","Confirmar el pedido con el proveedor"))))))</f>
        <v/>
      </c>
      <c r="V248" s="29" t="str">
        <f aca="false">IF(M248="Dato pendiente",1000+ROW()/10000,IF(M248="Fuera de plazo",N248+ROW()/10000,""))</f>
        <v/>
      </c>
      <c r="W248" s="30" t="str">
        <f aca="false">IF(T248="","",ROW())</f>
        <v/>
      </c>
    </row>
    <row r="249" customFormat="false" ht="15" hidden="false" customHeight="false" outlineLevel="0" collapsed="false">
      <c r="A249" s="13"/>
      <c r="B249" s="13"/>
      <c r="C249" s="28"/>
      <c r="D249" s="13"/>
      <c r="E249" s="13"/>
      <c r="F249" s="28"/>
      <c r="G249" s="28"/>
      <c r="H249" s="21"/>
      <c r="I249" s="21"/>
      <c r="J249" s="13"/>
      <c r="K249" s="13" t="str">
        <f aca="false">IF(A249="","",IFERROR(INDEX(Clientes!$B$2:$B$200,MATCH(B249,Clientes!$A$2:$A$200,0)),"Cliente no registrado"))</f>
        <v/>
      </c>
      <c r="L249" s="13" t="str">
        <f aca="false">IF(A249="","",IF(OR(J249="Entregado",J249="Anulado"),"No","Sí"))</f>
        <v/>
      </c>
      <c r="M249" s="13" t="str">
        <f aca="false">IF(A249="","",IF(J249="Entregado","Entregado",IF(J249="Anulado","Anulado",IF(F249="","Dato pendiente",IF(F249&lt;Control!$C$4,"Fuera de plazo","En plazo")))))</f>
        <v/>
      </c>
      <c r="N249" s="13" t="str">
        <f aca="false">IF(M249="Fuera de plazo",Control!$C$4-F249,"")</f>
        <v/>
      </c>
      <c r="O249" s="13" t="str">
        <f aca="false">IF(M249="Fuera de plazo",IF(J249="Listo para recoger","Cliente (no recoge)","Tienda o proveedor"),"")</f>
        <v/>
      </c>
      <c r="P249" s="13" t="str">
        <f aca="false">IF(A249="","",COUNTIF(Incidencias!$B$2:$B$151,A249))</f>
        <v/>
      </c>
      <c r="Q249" s="13" t="str">
        <f aca="false">IF(A249="","",COUNTIFS(Incidencias!$B$2:$B$151,A249,Incidencias!$F$2:$F$151,"Abierta"))</f>
        <v/>
      </c>
      <c r="R249" s="21" t="str">
        <f aca="false">IF(L249="Sí",H249-I249,IF(A249="","",0))</f>
        <v/>
      </c>
      <c r="S249" s="13" t="str">
        <f aca="false">IF(AND(J249="Entregado",F249&lt;&gt;"",G249&lt;&gt;""),IF(G249&lt;=F249,"Sí","No"),"")</f>
        <v/>
      </c>
      <c r="T249" s="13" t="str">
        <f aca="false">IF(A249="","",IF(K249="Cliente no registrado","Cliente sin dar de alta",IF(F249="","Falta fecha prevista",IF(AND(J249="Entregado",G249=""),"Entregado sin fecha de entrega",IF(ISNA(MATCH(J249,Inicio!$Z$1:$Z$6,0)),"Estado no reconocido",IF(F249&lt;C249,"Prevista anterior al pedido",IF(AND(G249&lt;&gt;"",G249&lt;C249),"Entrega anterior al pedido","")))))))</f>
        <v/>
      </c>
      <c r="U249" s="13" t="str">
        <f aca="false">IF(L249&lt;&gt;"Sí","",IF(M249="Dato pendiente","Poner fecha prevista y avisar al cliente",IF(M249="En plazo","Seguimiento normal",IF(J249="Listo para recoger","Recordar la recogida al cliente",IF(J249="Esperando pieza","Pedir fecha al proveedor y avisar al cliente",IF(J249="En taller","Revisar con el taller","Confirmar el pedido con el proveedor"))))))</f>
        <v/>
      </c>
      <c r="V249" s="29" t="str">
        <f aca="false">IF(M249="Dato pendiente",1000+ROW()/10000,IF(M249="Fuera de plazo",N249+ROW()/10000,""))</f>
        <v/>
      </c>
      <c r="W249" s="30" t="str">
        <f aca="false">IF(T249="","",ROW())</f>
        <v/>
      </c>
    </row>
    <row r="250" customFormat="false" ht="15" hidden="false" customHeight="false" outlineLevel="0" collapsed="false">
      <c r="A250" s="13"/>
      <c r="B250" s="13"/>
      <c r="C250" s="28"/>
      <c r="D250" s="13"/>
      <c r="E250" s="13"/>
      <c r="F250" s="28"/>
      <c r="G250" s="28"/>
      <c r="H250" s="21"/>
      <c r="I250" s="21"/>
      <c r="J250" s="13"/>
      <c r="K250" s="13" t="str">
        <f aca="false">IF(A250="","",IFERROR(INDEX(Clientes!$B$2:$B$200,MATCH(B250,Clientes!$A$2:$A$200,0)),"Cliente no registrado"))</f>
        <v/>
      </c>
      <c r="L250" s="13" t="str">
        <f aca="false">IF(A250="","",IF(OR(J250="Entregado",J250="Anulado"),"No","Sí"))</f>
        <v/>
      </c>
      <c r="M250" s="13" t="str">
        <f aca="false">IF(A250="","",IF(J250="Entregado","Entregado",IF(J250="Anulado","Anulado",IF(F250="","Dato pendiente",IF(F250&lt;Control!$C$4,"Fuera de plazo","En plazo")))))</f>
        <v/>
      </c>
      <c r="N250" s="13" t="str">
        <f aca="false">IF(M250="Fuera de plazo",Control!$C$4-F250,"")</f>
        <v/>
      </c>
      <c r="O250" s="13" t="str">
        <f aca="false">IF(M250="Fuera de plazo",IF(J250="Listo para recoger","Cliente (no recoge)","Tienda o proveedor"),"")</f>
        <v/>
      </c>
      <c r="P250" s="13" t="str">
        <f aca="false">IF(A250="","",COUNTIF(Incidencias!$B$2:$B$151,A250))</f>
        <v/>
      </c>
      <c r="Q250" s="13" t="str">
        <f aca="false">IF(A250="","",COUNTIFS(Incidencias!$B$2:$B$151,A250,Incidencias!$F$2:$F$151,"Abierta"))</f>
        <v/>
      </c>
      <c r="R250" s="21" t="str">
        <f aca="false">IF(L250="Sí",H250-I250,IF(A250="","",0))</f>
        <v/>
      </c>
      <c r="S250" s="13" t="str">
        <f aca="false">IF(AND(J250="Entregado",F250&lt;&gt;"",G250&lt;&gt;""),IF(G250&lt;=F250,"Sí","No"),"")</f>
        <v/>
      </c>
      <c r="T250" s="13" t="str">
        <f aca="false">IF(A250="","",IF(K250="Cliente no registrado","Cliente sin dar de alta",IF(F250="","Falta fecha prevista",IF(AND(J250="Entregado",G250=""),"Entregado sin fecha de entrega",IF(ISNA(MATCH(J250,Inicio!$Z$1:$Z$6,0)),"Estado no reconocido",IF(F250&lt;C250,"Prevista anterior al pedido",IF(AND(G250&lt;&gt;"",G250&lt;C250),"Entrega anterior al pedido","")))))))</f>
        <v/>
      </c>
      <c r="U250" s="13" t="str">
        <f aca="false">IF(L250&lt;&gt;"Sí","",IF(M250="Dato pendiente","Poner fecha prevista y avisar al cliente",IF(M250="En plazo","Seguimiento normal",IF(J250="Listo para recoger","Recordar la recogida al cliente",IF(J250="Esperando pieza","Pedir fecha al proveedor y avisar al cliente",IF(J250="En taller","Revisar con el taller","Confirmar el pedido con el proveedor"))))))</f>
        <v/>
      </c>
      <c r="V250" s="29" t="str">
        <f aca="false">IF(M250="Dato pendiente",1000+ROW()/10000,IF(M250="Fuera de plazo",N250+ROW()/10000,""))</f>
        <v/>
      </c>
      <c r="W250" s="30" t="str">
        <f aca="false">IF(T250="","",ROW())</f>
        <v/>
      </c>
    </row>
    <row r="251" customFormat="false" ht="15" hidden="false" customHeight="false" outlineLevel="0" collapsed="false">
      <c r="A251" s="13"/>
      <c r="B251" s="13"/>
      <c r="C251" s="28"/>
      <c r="D251" s="13"/>
      <c r="E251" s="13"/>
      <c r="F251" s="28"/>
      <c r="G251" s="28"/>
      <c r="H251" s="21"/>
      <c r="I251" s="21"/>
      <c r="J251" s="13"/>
      <c r="K251" s="13" t="str">
        <f aca="false">IF(A251="","",IFERROR(INDEX(Clientes!$B$2:$B$200,MATCH(B251,Clientes!$A$2:$A$200,0)),"Cliente no registrado"))</f>
        <v/>
      </c>
      <c r="L251" s="13" t="str">
        <f aca="false">IF(A251="","",IF(OR(J251="Entregado",J251="Anulado"),"No","Sí"))</f>
        <v/>
      </c>
      <c r="M251" s="13" t="str">
        <f aca="false">IF(A251="","",IF(J251="Entregado","Entregado",IF(J251="Anulado","Anulado",IF(F251="","Dato pendiente",IF(F251&lt;Control!$C$4,"Fuera de plazo","En plazo")))))</f>
        <v/>
      </c>
      <c r="N251" s="13" t="str">
        <f aca="false">IF(M251="Fuera de plazo",Control!$C$4-F251,"")</f>
        <v/>
      </c>
      <c r="O251" s="13" t="str">
        <f aca="false">IF(M251="Fuera de plazo",IF(J251="Listo para recoger","Cliente (no recoge)","Tienda o proveedor"),"")</f>
        <v/>
      </c>
      <c r="P251" s="13" t="str">
        <f aca="false">IF(A251="","",COUNTIF(Incidencias!$B$2:$B$151,A251))</f>
        <v/>
      </c>
      <c r="Q251" s="13" t="str">
        <f aca="false">IF(A251="","",COUNTIFS(Incidencias!$B$2:$B$151,A251,Incidencias!$F$2:$F$151,"Abierta"))</f>
        <v/>
      </c>
      <c r="R251" s="21" t="str">
        <f aca="false">IF(L251="Sí",H251-I251,IF(A251="","",0))</f>
        <v/>
      </c>
      <c r="S251" s="13" t="str">
        <f aca="false">IF(AND(J251="Entregado",F251&lt;&gt;"",G251&lt;&gt;""),IF(G251&lt;=F251,"Sí","No"),"")</f>
        <v/>
      </c>
      <c r="T251" s="13" t="str">
        <f aca="false">IF(A251="","",IF(K251="Cliente no registrado","Cliente sin dar de alta",IF(F251="","Falta fecha prevista",IF(AND(J251="Entregado",G251=""),"Entregado sin fecha de entrega",IF(ISNA(MATCH(J251,Inicio!$Z$1:$Z$6,0)),"Estado no reconocido",IF(F251&lt;C251,"Prevista anterior al pedido",IF(AND(G251&lt;&gt;"",G251&lt;C251),"Entrega anterior al pedido","")))))))</f>
        <v/>
      </c>
      <c r="U251" s="13" t="str">
        <f aca="false">IF(L251&lt;&gt;"Sí","",IF(M251="Dato pendiente","Poner fecha prevista y avisar al cliente",IF(M251="En plazo","Seguimiento normal",IF(J251="Listo para recoger","Recordar la recogida al cliente",IF(J251="Esperando pieza","Pedir fecha al proveedor y avisar al cliente",IF(J251="En taller","Revisar con el taller","Confirmar el pedido con el proveedor"))))))</f>
        <v/>
      </c>
      <c r="V251" s="29" t="str">
        <f aca="false">IF(M251="Dato pendiente",1000+ROW()/10000,IF(M251="Fuera de plazo",N251+ROW()/10000,""))</f>
        <v/>
      </c>
      <c r="W251" s="30" t="str">
        <f aca="false">IF(T251="","",ROW())</f>
        <v/>
      </c>
    </row>
    <row r="252" customFormat="false" ht="15" hidden="false" customHeight="false" outlineLevel="0" collapsed="false">
      <c r="A252" s="13"/>
      <c r="B252" s="13"/>
      <c r="C252" s="28"/>
      <c r="D252" s="13"/>
      <c r="E252" s="13"/>
      <c r="F252" s="28"/>
      <c r="G252" s="28"/>
      <c r="H252" s="21"/>
      <c r="I252" s="21"/>
      <c r="J252" s="13"/>
      <c r="K252" s="13" t="str">
        <f aca="false">IF(A252="","",IFERROR(INDEX(Clientes!$B$2:$B$200,MATCH(B252,Clientes!$A$2:$A$200,0)),"Cliente no registrado"))</f>
        <v/>
      </c>
      <c r="L252" s="13" t="str">
        <f aca="false">IF(A252="","",IF(OR(J252="Entregado",J252="Anulado"),"No","Sí"))</f>
        <v/>
      </c>
      <c r="M252" s="13" t="str">
        <f aca="false">IF(A252="","",IF(J252="Entregado","Entregado",IF(J252="Anulado","Anulado",IF(F252="","Dato pendiente",IF(F252&lt;Control!$C$4,"Fuera de plazo","En plazo")))))</f>
        <v/>
      </c>
      <c r="N252" s="13" t="str">
        <f aca="false">IF(M252="Fuera de plazo",Control!$C$4-F252,"")</f>
        <v/>
      </c>
      <c r="O252" s="13" t="str">
        <f aca="false">IF(M252="Fuera de plazo",IF(J252="Listo para recoger","Cliente (no recoge)","Tienda o proveedor"),"")</f>
        <v/>
      </c>
      <c r="P252" s="13" t="str">
        <f aca="false">IF(A252="","",COUNTIF(Incidencias!$B$2:$B$151,A252))</f>
        <v/>
      </c>
      <c r="Q252" s="13" t="str">
        <f aca="false">IF(A252="","",COUNTIFS(Incidencias!$B$2:$B$151,A252,Incidencias!$F$2:$F$151,"Abierta"))</f>
        <v/>
      </c>
      <c r="R252" s="21" t="str">
        <f aca="false">IF(L252="Sí",H252-I252,IF(A252="","",0))</f>
        <v/>
      </c>
      <c r="S252" s="13" t="str">
        <f aca="false">IF(AND(J252="Entregado",F252&lt;&gt;"",G252&lt;&gt;""),IF(G252&lt;=F252,"Sí","No"),"")</f>
        <v/>
      </c>
      <c r="T252" s="13" t="str">
        <f aca="false">IF(A252="","",IF(K252="Cliente no registrado","Cliente sin dar de alta",IF(F252="","Falta fecha prevista",IF(AND(J252="Entregado",G252=""),"Entregado sin fecha de entrega",IF(ISNA(MATCH(J252,Inicio!$Z$1:$Z$6,0)),"Estado no reconocido",IF(F252&lt;C252,"Prevista anterior al pedido",IF(AND(G252&lt;&gt;"",G252&lt;C252),"Entrega anterior al pedido","")))))))</f>
        <v/>
      </c>
      <c r="U252" s="13" t="str">
        <f aca="false">IF(L252&lt;&gt;"Sí","",IF(M252="Dato pendiente","Poner fecha prevista y avisar al cliente",IF(M252="En plazo","Seguimiento normal",IF(J252="Listo para recoger","Recordar la recogida al cliente",IF(J252="Esperando pieza","Pedir fecha al proveedor y avisar al cliente",IF(J252="En taller","Revisar con el taller","Confirmar el pedido con el proveedor"))))))</f>
        <v/>
      </c>
      <c r="V252" s="29" t="str">
        <f aca="false">IF(M252="Dato pendiente",1000+ROW()/10000,IF(M252="Fuera de plazo",N252+ROW()/10000,""))</f>
        <v/>
      </c>
      <c r="W252" s="30" t="str">
        <f aca="false">IF(T252="","",ROW())</f>
        <v/>
      </c>
    </row>
    <row r="253" customFormat="false" ht="15" hidden="false" customHeight="false" outlineLevel="0" collapsed="false">
      <c r="A253" s="13"/>
      <c r="B253" s="13"/>
      <c r="C253" s="28"/>
      <c r="D253" s="13"/>
      <c r="E253" s="13"/>
      <c r="F253" s="28"/>
      <c r="G253" s="28"/>
      <c r="H253" s="21"/>
      <c r="I253" s="21"/>
      <c r="J253" s="13"/>
      <c r="K253" s="13" t="str">
        <f aca="false">IF(A253="","",IFERROR(INDEX(Clientes!$B$2:$B$200,MATCH(B253,Clientes!$A$2:$A$200,0)),"Cliente no registrado"))</f>
        <v/>
      </c>
      <c r="L253" s="13" t="str">
        <f aca="false">IF(A253="","",IF(OR(J253="Entregado",J253="Anulado"),"No","Sí"))</f>
        <v/>
      </c>
      <c r="M253" s="13" t="str">
        <f aca="false">IF(A253="","",IF(J253="Entregado","Entregado",IF(J253="Anulado","Anulado",IF(F253="","Dato pendiente",IF(F253&lt;Control!$C$4,"Fuera de plazo","En plazo")))))</f>
        <v/>
      </c>
      <c r="N253" s="13" t="str">
        <f aca="false">IF(M253="Fuera de plazo",Control!$C$4-F253,"")</f>
        <v/>
      </c>
      <c r="O253" s="13" t="str">
        <f aca="false">IF(M253="Fuera de plazo",IF(J253="Listo para recoger","Cliente (no recoge)","Tienda o proveedor"),"")</f>
        <v/>
      </c>
      <c r="P253" s="13" t="str">
        <f aca="false">IF(A253="","",COUNTIF(Incidencias!$B$2:$B$151,A253))</f>
        <v/>
      </c>
      <c r="Q253" s="13" t="str">
        <f aca="false">IF(A253="","",COUNTIFS(Incidencias!$B$2:$B$151,A253,Incidencias!$F$2:$F$151,"Abierta"))</f>
        <v/>
      </c>
      <c r="R253" s="21" t="str">
        <f aca="false">IF(L253="Sí",H253-I253,IF(A253="","",0))</f>
        <v/>
      </c>
      <c r="S253" s="13" t="str">
        <f aca="false">IF(AND(J253="Entregado",F253&lt;&gt;"",G253&lt;&gt;""),IF(G253&lt;=F253,"Sí","No"),"")</f>
        <v/>
      </c>
      <c r="T253" s="13" t="str">
        <f aca="false">IF(A253="","",IF(K253="Cliente no registrado","Cliente sin dar de alta",IF(F253="","Falta fecha prevista",IF(AND(J253="Entregado",G253=""),"Entregado sin fecha de entrega",IF(ISNA(MATCH(J253,Inicio!$Z$1:$Z$6,0)),"Estado no reconocido",IF(F253&lt;C253,"Prevista anterior al pedido",IF(AND(G253&lt;&gt;"",G253&lt;C253),"Entrega anterior al pedido","")))))))</f>
        <v/>
      </c>
      <c r="U253" s="13" t="str">
        <f aca="false">IF(L253&lt;&gt;"Sí","",IF(M253="Dato pendiente","Poner fecha prevista y avisar al cliente",IF(M253="En plazo","Seguimiento normal",IF(J253="Listo para recoger","Recordar la recogida al cliente",IF(J253="Esperando pieza","Pedir fecha al proveedor y avisar al cliente",IF(J253="En taller","Revisar con el taller","Confirmar el pedido con el proveedor"))))))</f>
        <v/>
      </c>
      <c r="V253" s="29" t="str">
        <f aca="false">IF(M253="Dato pendiente",1000+ROW()/10000,IF(M253="Fuera de plazo",N253+ROW()/10000,""))</f>
        <v/>
      </c>
      <c r="W253" s="30" t="str">
        <f aca="false">IF(T253="","",ROW())</f>
        <v/>
      </c>
    </row>
    <row r="254" customFormat="false" ht="15" hidden="false" customHeight="false" outlineLevel="0" collapsed="false">
      <c r="A254" s="13"/>
      <c r="B254" s="13"/>
      <c r="C254" s="28"/>
      <c r="D254" s="13"/>
      <c r="E254" s="13"/>
      <c r="F254" s="28"/>
      <c r="G254" s="28"/>
      <c r="H254" s="21"/>
      <c r="I254" s="21"/>
      <c r="J254" s="13"/>
      <c r="K254" s="13" t="str">
        <f aca="false">IF(A254="","",IFERROR(INDEX(Clientes!$B$2:$B$200,MATCH(B254,Clientes!$A$2:$A$200,0)),"Cliente no registrado"))</f>
        <v/>
      </c>
      <c r="L254" s="13" t="str">
        <f aca="false">IF(A254="","",IF(OR(J254="Entregado",J254="Anulado"),"No","Sí"))</f>
        <v/>
      </c>
      <c r="M254" s="13" t="str">
        <f aca="false">IF(A254="","",IF(J254="Entregado","Entregado",IF(J254="Anulado","Anulado",IF(F254="","Dato pendiente",IF(F254&lt;Control!$C$4,"Fuera de plazo","En plazo")))))</f>
        <v/>
      </c>
      <c r="N254" s="13" t="str">
        <f aca="false">IF(M254="Fuera de plazo",Control!$C$4-F254,"")</f>
        <v/>
      </c>
      <c r="O254" s="13" t="str">
        <f aca="false">IF(M254="Fuera de plazo",IF(J254="Listo para recoger","Cliente (no recoge)","Tienda o proveedor"),"")</f>
        <v/>
      </c>
      <c r="P254" s="13" t="str">
        <f aca="false">IF(A254="","",COUNTIF(Incidencias!$B$2:$B$151,A254))</f>
        <v/>
      </c>
      <c r="Q254" s="13" t="str">
        <f aca="false">IF(A254="","",COUNTIFS(Incidencias!$B$2:$B$151,A254,Incidencias!$F$2:$F$151,"Abierta"))</f>
        <v/>
      </c>
      <c r="R254" s="21" t="str">
        <f aca="false">IF(L254="Sí",H254-I254,IF(A254="","",0))</f>
        <v/>
      </c>
      <c r="S254" s="13" t="str">
        <f aca="false">IF(AND(J254="Entregado",F254&lt;&gt;"",G254&lt;&gt;""),IF(G254&lt;=F254,"Sí","No"),"")</f>
        <v/>
      </c>
      <c r="T254" s="13" t="str">
        <f aca="false">IF(A254="","",IF(K254="Cliente no registrado","Cliente sin dar de alta",IF(F254="","Falta fecha prevista",IF(AND(J254="Entregado",G254=""),"Entregado sin fecha de entrega",IF(ISNA(MATCH(J254,Inicio!$Z$1:$Z$6,0)),"Estado no reconocido",IF(F254&lt;C254,"Prevista anterior al pedido",IF(AND(G254&lt;&gt;"",G254&lt;C254),"Entrega anterior al pedido","")))))))</f>
        <v/>
      </c>
      <c r="U254" s="13" t="str">
        <f aca="false">IF(L254&lt;&gt;"Sí","",IF(M254="Dato pendiente","Poner fecha prevista y avisar al cliente",IF(M254="En plazo","Seguimiento normal",IF(J254="Listo para recoger","Recordar la recogida al cliente",IF(J254="Esperando pieza","Pedir fecha al proveedor y avisar al cliente",IF(J254="En taller","Revisar con el taller","Confirmar el pedido con el proveedor"))))))</f>
        <v/>
      </c>
      <c r="V254" s="29" t="str">
        <f aca="false">IF(M254="Dato pendiente",1000+ROW()/10000,IF(M254="Fuera de plazo",N254+ROW()/10000,""))</f>
        <v/>
      </c>
      <c r="W254" s="30" t="str">
        <f aca="false">IF(T254="","",ROW())</f>
        <v/>
      </c>
    </row>
    <row r="255" customFormat="false" ht="15" hidden="false" customHeight="false" outlineLevel="0" collapsed="false">
      <c r="A255" s="13"/>
      <c r="B255" s="13"/>
      <c r="C255" s="28"/>
      <c r="D255" s="13"/>
      <c r="E255" s="13"/>
      <c r="F255" s="28"/>
      <c r="G255" s="28"/>
      <c r="H255" s="21"/>
      <c r="I255" s="21"/>
      <c r="J255" s="13"/>
      <c r="K255" s="13" t="str">
        <f aca="false">IF(A255="","",IFERROR(INDEX(Clientes!$B$2:$B$200,MATCH(B255,Clientes!$A$2:$A$200,0)),"Cliente no registrado"))</f>
        <v/>
      </c>
      <c r="L255" s="13" t="str">
        <f aca="false">IF(A255="","",IF(OR(J255="Entregado",J255="Anulado"),"No","Sí"))</f>
        <v/>
      </c>
      <c r="M255" s="13" t="str">
        <f aca="false">IF(A255="","",IF(J255="Entregado","Entregado",IF(J255="Anulado","Anulado",IF(F255="","Dato pendiente",IF(F255&lt;Control!$C$4,"Fuera de plazo","En plazo")))))</f>
        <v/>
      </c>
      <c r="N255" s="13" t="str">
        <f aca="false">IF(M255="Fuera de plazo",Control!$C$4-F255,"")</f>
        <v/>
      </c>
      <c r="O255" s="13" t="str">
        <f aca="false">IF(M255="Fuera de plazo",IF(J255="Listo para recoger","Cliente (no recoge)","Tienda o proveedor"),"")</f>
        <v/>
      </c>
      <c r="P255" s="13" t="str">
        <f aca="false">IF(A255="","",COUNTIF(Incidencias!$B$2:$B$151,A255))</f>
        <v/>
      </c>
      <c r="Q255" s="13" t="str">
        <f aca="false">IF(A255="","",COUNTIFS(Incidencias!$B$2:$B$151,A255,Incidencias!$F$2:$F$151,"Abierta"))</f>
        <v/>
      </c>
      <c r="R255" s="21" t="str">
        <f aca="false">IF(L255="Sí",H255-I255,IF(A255="","",0))</f>
        <v/>
      </c>
      <c r="S255" s="13" t="str">
        <f aca="false">IF(AND(J255="Entregado",F255&lt;&gt;"",G255&lt;&gt;""),IF(G255&lt;=F255,"Sí","No"),"")</f>
        <v/>
      </c>
      <c r="T255" s="13" t="str">
        <f aca="false">IF(A255="","",IF(K255="Cliente no registrado","Cliente sin dar de alta",IF(F255="","Falta fecha prevista",IF(AND(J255="Entregado",G255=""),"Entregado sin fecha de entrega",IF(ISNA(MATCH(J255,Inicio!$Z$1:$Z$6,0)),"Estado no reconocido",IF(F255&lt;C255,"Prevista anterior al pedido",IF(AND(G255&lt;&gt;"",G255&lt;C255),"Entrega anterior al pedido","")))))))</f>
        <v/>
      </c>
      <c r="U255" s="13" t="str">
        <f aca="false">IF(L255&lt;&gt;"Sí","",IF(M255="Dato pendiente","Poner fecha prevista y avisar al cliente",IF(M255="En plazo","Seguimiento normal",IF(J255="Listo para recoger","Recordar la recogida al cliente",IF(J255="Esperando pieza","Pedir fecha al proveedor y avisar al cliente",IF(J255="En taller","Revisar con el taller","Confirmar el pedido con el proveedor"))))))</f>
        <v/>
      </c>
      <c r="V255" s="29" t="str">
        <f aca="false">IF(M255="Dato pendiente",1000+ROW()/10000,IF(M255="Fuera de plazo",N255+ROW()/10000,""))</f>
        <v/>
      </c>
      <c r="W255" s="30" t="str">
        <f aca="false">IF(T255="","",ROW())</f>
        <v/>
      </c>
    </row>
    <row r="256" customFormat="false" ht="15" hidden="false" customHeight="false" outlineLevel="0" collapsed="false">
      <c r="A256" s="13"/>
      <c r="B256" s="13"/>
      <c r="C256" s="28"/>
      <c r="D256" s="13"/>
      <c r="E256" s="13"/>
      <c r="F256" s="28"/>
      <c r="G256" s="28"/>
      <c r="H256" s="21"/>
      <c r="I256" s="21"/>
      <c r="J256" s="13"/>
      <c r="K256" s="13" t="str">
        <f aca="false">IF(A256="","",IFERROR(INDEX(Clientes!$B$2:$B$200,MATCH(B256,Clientes!$A$2:$A$200,0)),"Cliente no registrado"))</f>
        <v/>
      </c>
      <c r="L256" s="13" t="str">
        <f aca="false">IF(A256="","",IF(OR(J256="Entregado",J256="Anulado"),"No","Sí"))</f>
        <v/>
      </c>
      <c r="M256" s="13" t="str">
        <f aca="false">IF(A256="","",IF(J256="Entregado","Entregado",IF(J256="Anulado","Anulado",IF(F256="","Dato pendiente",IF(F256&lt;Control!$C$4,"Fuera de plazo","En plazo")))))</f>
        <v/>
      </c>
      <c r="N256" s="13" t="str">
        <f aca="false">IF(M256="Fuera de plazo",Control!$C$4-F256,"")</f>
        <v/>
      </c>
      <c r="O256" s="13" t="str">
        <f aca="false">IF(M256="Fuera de plazo",IF(J256="Listo para recoger","Cliente (no recoge)","Tienda o proveedor"),"")</f>
        <v/>
      </c>
      <c r="P256" s="13" t="str">
        <f aca="false">IF(A256="","",COUNTIF(Incidencias!$B$2:$B$151,A256))</f>
        <v/>
      </c>
      <c r="Q256" s="13" t="str">
        <f aca="false">IF(A256="","",COUNTIFS(Incidencias!$B$2:$B$151,A256,Incidencias!$F$2:$F$151,"Abierta"))</f>
        <v/>
      </c>
      <c r="R256" s="21" t="str">
        <f aca="false">IF(L256="Sí",H256-I256,IF(A256="","",0))</f>
        <v/>
      </c>
      <c r="S256" s="13" t="str">
        <f aca="false">IF(AND(J256="Entregado",F256&lt;&gt;"",G256&lt;&gt;""),IF(G256&lt;=F256,"Sí","No"),"")</f>
        <v/>
      </c>
      <c r="T256" s="13" t="str">
        <f aca="false">IF(A256="","",IF(K256="Cliente no registrado","Cliente sin dar de alta",IF(F256="","Falta fecha prevista",IF(AND(J256="Entregado",G256=""),"Entregado sin fecha de entrega",IF(ISNA(MATCH(J256,Inicio!$Z$1:$Z$6,0)),"Estado no reconocido",IF(F256&lt;C256,"Prevista anterior al pedido",IF(AND(G256&lt;&gt;"",G256&lt;C256),"Entrega anterior al pedido","")))))))</f>
        <v/>
      </c>
      <c r="U256" s="13" t="str">
        <f aca="false">IF(L256&lt;&gt;"Sí","",IF(M256="Dato pendiente","Poner fecha prevista y avisar al cliente",IF(M256="En plazo","Seguimiento normal",IF(J256="Listo para recoger","Recordar la recogida al cliente",IF(J256="Esperando pieza","Pedir fecha al proveedor y avisar al cliente",IF(J256="En taller","Revisar con el taller","Confirmar el pedido con el proveedor"))))))</f>
        <v/>
      </c>
      <c r="V256" s="29" t="str">
        <f aca="false">IF(M256="Dato pendiente",1000+ROW()/10000,IF(M256="Fuera de plazo",N256+ROW()/10000,""))</f>
        <v/>
      </c>
      <c r="W256" s="30" t="str">
        <f aca="false">IF(T256="","",ROW())</f>
        <v/>
      </c>
    </row>
    <row r="257" customFormat="false" ht="15" hidden="false" customHeight="false" outlineLevel="0" collapsed="false">
      <c r="A257" s="13"/>
      <c r="B257" s="13"/>
      <c r="C257" s="28"/>
      <c r="D257" s="13"/>
      <c r="E257" s="13"/>
      <c r="F257" s="28"/>
      <c r="G257" s="28"/>
      <c r="H257" s="21"/>
      <c r="I257" s="21"/>
      <c r="J257" s="13"/>
      <c r="K257" s="13" t="str">
        <f aca="false">IF(A257="","",IFERROR(INDEX(Clientes!$B$2:$B$200,MATCH(B257,Clientes!$A$2:$A$200,0)),"Cliente no registrado"))</f>
        <v/>
      </c>
      <c r="L257" s="13" t="str">
        <f aca="false">IF(A257="","",IF(OR(J257="Entregado",J257="Anulado"),"No","Sí"))</f>
        <v/>
      </c>
      <c r="M257" s="13" t="str">
        <f aca="false">IF(A257="","",IF(J257="Entregado","Entregado",IF(J257="Anulado","Anulado",IF(F257="","Dato pendiente",IF(F257&lt;Control!$C$4,"Fuera de plazo","En plazo")))))</f>
        <v/>
      </c>
      <c r="N257" s="13" t="str">
        <f aca="false">IF(M257="Fuera de plazo",Control!$C$4-F257,"")</f>
        <v/>
      </c>
      <c r="O257" s="13" t="str">
        <f aca="false">IF(M257="Fuera de plazo",IF(J257="Listo para recoger","Cliente (no recoge)","Tienda o proveedor"),"")</f>
        <v/>
      </c>
      <c r="P257" s="13" t="str">
        <f aca="false">IF(A257="","",COUNTIF(Incidencias!$B$2:$B$151,A257))</f>
        <v/>
      </c>
      <c r="Q257" s="13" t="str">
        <f aca="false">IF(A257="","",COUNTIFS(Incidencias!$B$2:$B$151,A257,Incidencias!$F$2:$F$151,"Abierta"))</f>
        <v/>
      </c>
      <c r="R257" s="21" t="str">
        <f aca="false">IF(L257="Sí",H257-I257,IF(A257="","",0))</f>
        <v/>
      </c>
      <c r="S257" s="13" t="str">
        <f aca="false">IF(AND(J257="Entregado",F257&lt;&gt;"",G257&lt;&gt;""),IF(G257&lt;=F257,"Sí","No"),"")</f>
        <v/>
      </c>
      <c r="T257" s="13" t="str">
        <f aca="false">IF(A257="","",IF(K257="Cliente no registrado","Cliente sin dar de alta",IF(F257="","Falta fecha prevista",IF(AND(J257="Entregado",G257=""),"Entregado sin fecha de entrega",IF(ISNA(MATCH(J257,Inicio!$Z$1:$Z$6,0)),"Estado no reconocido",IF(F257&lt;C257,"Prevista anterior al pedido",IF(AND(G257&lt;&gt;"",G257&lt;C257),"Entrega anterior al pedido","")))))))</f>
        <v/>
      </c>
      <c r="U257" s="13" t="str">
        <f aca="false">IF(L257&lt;&gt;"Sí","",IF(M257="Dato pendiente","Poner fecha prevista y avisar al cliente",IF(M257="En plazo","Seguimiento normal",IF(J257="Listo para recoger","Recordar la recogida al cliente",IF(J257="Esperando pieza","Pedir fecha al proveedor y avisar al cliente",IF(J257="En taller","Revisar con el taller","Confirmar el pedido con el proveedor"))))))</f>
        <v/>
      </c>
      <c r="V257" s="29" t="str">
        <f aca="false">IF(M257="Dato pendiente",1000+ROW()/10000,IF(M257="Fuera de plazo",N257+ROW()/10000,""))</f>
        <v/>
      </c>
      <c r="W257" s="30" t="str">
        <f aca="false">IF(T257="","",ROW())</f>
        <v/>
      </c>
    </row>
    <row r="258" customFormat="false" ht="15" hidden="false" customHeight="false" outlineLevel="0" collapsed="false">
      <c r="A258" s="13"/>
      <c r="B258" s="13"/>
      <c r="C258" s="28"/>
      <c r="D258" s="13"/>
      <c r="E258" s="13"/>
      <c r="F258" s="28"/>
      <c r="G258" s="28"/>
      <c r="H258" s="21"/>
      <c r="I258" s="21"/>
      <c r="J258" s="13"/>
      <c r="K258" s="13" t="str">
        <f aca="false">IF(A258="","",IFERROR(INDEX(Clientes!$B$2:$B$200,MATCH(B258,Clientes!$A$2:$A$200,0)),"Cliente no registrado"))</f>
        <v/>
      </c>
      <c r="L258" s="13" t="str">
        <f aca="false">IF(A258="","",IF(OR(J258="Entregado",J258="Anulado"),"No","Sí"))</f>
        <v/>
      </c>
      <c r="M258" s="13" t="str">
        <f aca="false">IF(A258="","",IF(J258="Entregado","Entregado",IF(J258="Anulado","Anulado",IF(F258="","Dato pendiente",IF(F258&lt;Control!$C$4,"Fuera de plazo","En plazo")))))</f>
        <v/>
      </c>
      <c r="N258" s="13" t="str">
        <f aca="false">IF(M258="Fuera de plazo",Control!$C$4-F258,"")</f>
        <v/>
      </c>
      <c r="O258" s="13" t="str">
        <f aca="false">IF(M258="Fuera de plazo",IF(J258="Listo para recoger","Cliente (no recoge)","Tienda o proveedor"),"")</f>
        <v/>
      </c>
      <c r="P258" s="13" t="str">
        <f aca="false">IF(A258="","",COUNTIF(Incidencias!$B$2:$B$151,A258))</f>
        <v/>
      </c>
      <c r="Q258" s="13" t="str">
        <f aca="false">IF(A258="","",COUNTIFS(Incidencias!$B$2:$B$151,A258,Incidencias!$F$2:$F$151,"Abierta"))</f>
        <v/>
      </c>
      <c r="R258" s="21" t="str">
        <f aca="false">IF(L258="Sí",H258-I258,IF(A258="","",0))</f>
        <v/>
      </c>
      <c r="S258" s="13" t="str">
        <f aca="false">IF(AND(J258="Entregado",F258&lt;&gt;"",G258&lt;&gt;""),IF(G258&lt;=F258,"Sí","No"),"")</f>
        <v/>
      </c>
      <c r="T258" s="13" t="str">
        <f aca="false">IF(A258="","",IF(K258="Cliente no registrado","Cliente sin dar de alta",IF(F258="","Falta fecha prevista",IF(AND(J258="Entregado",G258=""),"Entregado sin fecha de entrega",IF(ISNA(MATCH(J258,Inicio!$Z$1:$Z$6,0)),"Estado no reconocido",IF(F258&lt;C258,"Prevista anterior al pedido",IF(AND(G258&lt;&gt;"",G258&lt;C258),"Entrega anterior al pedido","")))))))</f>
        <v/>
      </c>
      <c r="U258" s="13" t="str">
        <f aca="false">IF(L258&lt;&gt;"Sí","",IF(M258="Dato pendiente","Poner fecha prevista y avisar al cliente",IF(M258="En plazo","Seguimiento normal",IF(J258="Listo para recoger","Recordar la recogida al cliente",IF(J258="Esperando pieza","Pedir fecha al proveedor y avisar al cliente",IF(J258="En taller","Revisar con el taller","Confirmar el pedido con el proveedor"))))))</f>
        <v/>
      </c>
      <c r="V258" s="29" t="str">
        <f aca="false">IF(M258="Dato pendiente",1000+ROW()/10000,IF(M258="Fuera de plazo",N258+ROW()/10000,""))</f>
        <v/>
      </c>
      <c r="W258" s="30" t="str">
        <f aca="false">IF(T258="","",ROW())</f>
        <v/>
      </c>
    </row>
    <row r="259" customFormat="false" ht="15" hidden="false" customHeight="false" outlineLevel="0" collapsed="false">
      <c r="A259" s="13"/>
      <c r="B259" s="13"/>
      <c r="C259" s="28"/>
      <c r="D259" s="13"/>
      <c r="E259" s="13"/>
      <c r="F259" s="28"/>
      <c r="G259" s="28"/>
      <c r="H259" s="21"/>
      <c r="I259" s="21"/>
      <c r="J259" s="13"/>
      <c r="K259" s="13" t="str">
        <f aca="false">IF(A259="","",IFERROR(INDEX(Clientes!$B$2:$B$200,MATCH(B259,Clientes!$A$2:$A$200,0)),"Cliente no registrado"))</f>
        <v/>
      </c>
      <c r="L259" s="13" t="str">
        <f aca="false">IF(A259="","",IF(OR(J259="Entregado",J259="Anulado"),"No","Sí"))</f>
        <v/>
      </c>
      <c r="M259" s="13" t="str">
        <f aca="false">IF(A259="","",IF(J259="Entregado","Entregado",IF(J259="Anulado","Anulado",IF(F259="","Dato pendiente",IF(F259&lt;Control!$C$4,"Fuera de plazo","En plazo")))))</f>
        <v/>
      </c>
      <c r="N259" s="13" t="str">
        <f aca="false">IF(M259="Fuera de plazo",Control!$C$4-F259,"")</f>
        <v/>
      </c>
      <c r="O259" s="13" t="str">
        <f aca="false">IF(M259="Fuera de plazo",IF(J259="Listo para recoger","Cliente (no recoge)","Tienda o proveedor"),"")</f>
        <v/>
      </c>
      <c r="P259" s="13" t="str">
        <f aca="false">IF(A259="","",COUNTIF(Incidencias!$B$2:$B$151,A259))</f>
        <v/>
      </c>
      <c r="Q259" s="13" t="str">
        <f aca="false">IF(A259="","",COUNTIFS(Incidencias!$B$2:$B$151,A259,Incidencias!$F$2:$F$151,"Abierta"))</f>
        <v/>
      </c>
      <c r="R259" s="21" t="str">
        <f aca="false">IF(L259="Sí",H259-I259,IF(A259="","",0))</f>
        <v/>
      </c>
      <c r="S259" s="13" t="str">
        <f aca="false">IF(AND(J259="Entregado",F259&lt;&gt;"",G259&lt;&gt;""),IF(G259&lt;=F259,"Sí","No"),"")</f>
        <v/>
      </c>
      <c r="T259" s="13" t="str">
        <f aca="false">IF(A259="","",IF(K259="Cliente no registrado","Cliente sin dar de alta",IF(F259="","Falta fecha prevista",IF(AND(J259="Entregado",G259=""),"Entregado sin fecha de entrega",IF(ISNA(MATCH(J259,Inicio!$Z$1:$Z$6,0)),"Estado no reconocido",IF(F259&lt;C259,"Prevista anterior al pedido",IF(AND(G259&lt;&gt;"",G259&lt;C259),"Entrega anterior al pedido","")))))))</f>
        <v/>
      </c>
      <c r="U259" s="13" t="str">
        <f aca="false">IF(L259&lt;&gt;"Sí","",IF(M259="Dato pendiente","Poner fecha prevista y avisar al cliente",IF(M259="En plazo","Seguimiento normal",IF(J259="Listo para recoger","Recordar la recogida al cliente",IF(J259="Esperando pieza","Pedir fecha al proveedor y avisar al cliente",IF(J259="En taller","Revisar con el taller","Confirmar el pedido con el proveedor"))))))</f>
        <v/>
      </c>
      <c r="V259" s="29" t="str">
        <f aca="false">IF(M259="Dato pendiente",1000+ROW()/10000,IF(M259="Fuera de plazo",N259+ROW()/10000,""))</f>
        <v/>
      </c>
      <c r="W259" s="30" t="str">
        <f aca="false">IF(T259="","",ROW())</f>
        <v/>
      </c>
    </row>
    <row r="260" customFormat="false" ht="15" hidden="false" customHeight="false" outlineLevel="0" collapsed="false">
      <c r="A260" s="13"/>
      <c r="B260" s="13"/>
      <c r="C260" s="28"/>
      <c r="D260" s="13"/>
      <c r="E260" s="13"/>
      <c r="F260" s="28"/>
      <c r="G260" s="28"/>
      <c r="H260" s="21"/>
      <c r="I260" s="21"/>
      <c r="J260" s="13"/>
      <c r="K260" s="13" t="str">
        <f aca="false">IF(A260="","",IFERROR(INDEX(Clientes!$B$2:$B$200,MATCH(B260,Clientes!$A$2:$A$200,0)),"Cliente no registrado"))</f>
        <v/>
      </c>
      <c r="L260" s="13" t="str">
        <f aca="false">IF(A260="","",IF(OR(J260="Entregado",J260="Anulado"),"No","Sí"))</f>
        <v/>
      </c>
      <c r="M260" s="13" t="str">
        <f aca="false">IF(A260="","",IF(J260="Entregado","Entregado",IF(J260="Anulado","Anulado",IF(F260="","Dato pendiente",IF(F260&lt;Control!$C$4,"Fuera de plazo","En plazo")))))</f>
        <v/>
      </c>
      <c r="N260" s="13" t="str">
        <f aca="false">IF(M260="Fuera de plazo",Control!$C$4-F260,"")</f>
        <v/>
      </c>
      <c r="O260" s="13" t="str">
        <f aca="false">IF(M260="Fuera de plazo",IF(J260="Listo para recoger","Cliente (no recoge)","Tienda o proveedor"),"")</f>
        <v/>
      </c>
      <c r="P260" s="13" t="str">
        <f aca="false">IF(A260="","",COUNTIF(Incidencias!$B$2:$B$151,A260))</f>
        <v/>
      </c>
      <c r="Q260" s="13" t="str">
        <f aca="false">IF(A260="","",COUNTIFS(Incidencias!$B$2:$B$151,A260,Incidencias!$F$2:$F$151,"Abierta"))</f>
        <v/>
      </c>
      <c r="R260" s="21" t="str">
        <f aca="false">IF(L260="Sí",H260-I260,IF(A260="","",0))</f>
        <v/>
      </c>
      <c r="S260" s="13" t="str">
        <f aca="false">IF(AND(J260="Entregado",F260&lt;&gt;"",G260&lt;&gt;""),IF(G260&lt;=F260,"Sí","No"),"")</f>
        <v/>
      </c>
      <c r="T260" s="13" t="str">
        <f aca="false">IF(A260="","",IF(K260="Cliente no registrado","Cliente sin dar de alta",IF(F260="","Falta fecha prevista",IF(AND(J260="Entregado",G260=""),"Entregado sin fecha de entrega",IF(ISNA(MATCH(J260,Inicio!$Z$1:$Z$6,0)),"Estado no reconocido",IF(F260&lt;C260,"Prevista anterior al pedido",IF(AND(G260&lt;&gt;"",G260&lt;C260),"Entrega anterior al pedido","")))))))</f>
        <v/>
      </c>
      <c r="U260" s="13" t="str">
        <f aca="false">IF(L260&lt;&gt;"Sí","",IF(M260="Dato pendiente","Poner fecha prevista y avisar al cliente",IF(M260="En plazo","Seguimiento normal",IF(J260="Listo para recoger","Recordar la recogida al cliente",IF(J260="Esperando pieza","Pedir fecha al proveedor y avisar al cliente",IF(J260="En taller","Revisar con el taller","Confirmar el pedido con el proveedor"))))))</f>
        <v/>
      </c>
      <c r="V260" s="29" t="str">
        <f aca="false">IF(M260="Dato pendiente",1000+ROW()/10000,IF(M260="Fuera de plazo",N260+ROW()/10000,""))</f>
        <v/>
      </c>
      <c r="W260" s="30" t="str">
        <f aca="false">IF(T260="","",ROW())</f>
        <v/>
      </c>
    </row>
    <row r="261" customFormat="false" ht="15" hidden="false" customHeight="false" outlineLevel="0" collapsed="false">
      <c r="A261" s="13"/>
      <c r="B261" s="13"/>
      <c r="C261" s="28"/>
      <c r="D261" s="13"/>
      <c r="E261" s="13"/>
      <c r="F261" s="28"/>
      <c r="G261" s="28"/>
      <c r="H261" s="21"/>
      <c r="I261" s="21"/>
      <c r="J261" s="13"/>
      <c r="K261" s="13" t="str">
        <f aca="false">IF(A261="","",IFERROR(INDEX(Clientes!$B$2:$B$200,MATCH(B261,Clientes!$A$2:$A$200,0)),"Cliente no registrado"))</f>
        <v/>
      </c>
      <c r="L261" s="13" t="str">
        <f aca="false">IF(A261="","",IF(OR(J261="Entregado",J261="Anulado"),"No","Sí"))</f>
        <v/>
      </c>
      <c r="M261" s="13" t="str">
        <f aca="false">IF(A261="","",IF(J261="Entregado","Entregado",IF(J261="Anulado","Anulado",IF(F261="","Dato pendiente",IF(F261&lt;Control!$C$4,"Fuera de plazo","En plazo")))))</f>
        <v/>
      </c>
      <c r="N261" s="13" t="str">
        <f aca="false">IF(M261="Fuera de plazo",Control!$C$4-F261,"")</f>
        <v/>
      </c>
      <c r="O261" s="13" t="str">
        <f aca="false">IF(M261="Fuera de plazo",IF(J261="Listo para recoger","Cliente (no recoge)","Tienda o proveedor"),"")</f>
        <v/>
      </c>
      <c r="P261" s="13" t="str">
        <f aca="false">IF(A261="","",COUNTIF(Incidencias!$B$2:$B$151,A261))</f>
        <v/>
      </c>
      <c r="Q261" s="13" t="str">
        <f aca="false">IF(A261="","",COUNTIFS(Incidencias!$B$2:$B$151,A261,Incidencias!$F$2:$F$151,"Abierta"))</f>
        <v/>
      </c>
      <c r="R261" s="21" t="str">
        <f aca="false">IF(L261="Sí",H261-I261,IF(A261="","",0))</f>
        <v/>
      </c>
      <c r="S261" s="13" t="str">
        <f aca="false">IF(AND(J261="Entregado",F261&lt;&gt;"",G261&lt;&gt;""),IF(G261&lt;=F261,"Sí","No"),"")</f>
        <v/>
      </c>
      <c r="T261" s="13" t="str">
        <f aca="false">IF(A261="","",IF(K261="Cliente no registrado","Cliente sin dar de alta",IF(F261="","Falta fecha prevista",IF(AND(J261="Entregado",G261=""),"Entregado sin fecha de entrega",IF(ISNA(MATCH(J261,Inicio!$Z$1:$Z$6,0)),"Estado no reconocido",IF(F261&lt;C261,"Prevista anterior al pedido",IF(AND(G261&lt;&gt;"",G261&lt;C261),"Entrega anterior al pedido","")))))))</f>
        <v/>
      </c>
      <c r="U261" s="13" t="str">
        <f aca="false">IF(L261&lt;&gt;"Sí","",IF(M261="Dato pendiente","Poner fecha prevista y avisar al cliente",IF(M261="En plazo","Seguimiento normal",IF(J261="Listo para recoger","Recordar la recogida al cliente",IF(J261="Esperando pieza","Pedir fecha al proveedor y avisar al cliente",IF(J261="En taller","Revisar con el taller","Confirmar el pedido con el proveedor"))))))</f>
        <v/>
      </c>
      <c r="V261" s="29" t="str">
        <f aca="false">IF(M261="Dato pendiente",1000+ROW()/10000,IF(M261="Fuera de plazo",N261+ROW()/10000,""))</f>
        <v/>
      </c>
      <c r="W261" s="30" t="str">
        <f aca="false">IF(T261="","",ROW())</f>
        <v/>
      </c>
    </row>
    <row r="262" customFormat="false" ht="15" hidden="false" customHeight="false" outlineLevel="0" collapsed="false">
      <c r="A262" s="13"/>
      <c r="B262" s="13"/>
      <c r="C262" s="28"/>
      <c r="D262" s="13"/>
      <c r="E262" s="13"/>
      <c r="F262" s="28"/>
      <c r="G262" s="28"/>
      <c r="H262" s="21"/>
      <c r="I262" s="21"/>
      <c r="J262" s="13"/>
      <c r="K262" s="13" t="str">
        <f aca="false">IF(A262="","",IFERROR(INDEX(Clientes!$B$2:$B$200,MATCH(B262,Clientes!$A$2:$A$200,0)),"Cliente no registrado"))</f>
        <v/>
      </c>
      <c r="L262" s="13" t="str">
        <f aca="false">IF(A262="","",IF(OR(J262="Entregado",J262="Anulado"),"No","Sí"))</f>
        <v/>
      </c>
      <c r="M262" s="13" t="str">
        <f aca="false">IF(A262="","",IF(J262="Entregado","Entregado",IF(J262="Anulado","Anulado",IF(F262="","Dato pendiente",IF(F262&lt;Control!$C$4,"Fuera de plazo","En plazo")))))</f>
        <v/>
      </c>
      <c r="N262" s="13" t="str">
        <f aca="false">IF(M262="Fuera de plazo",Control!$C$4-F262,"")</f>
        <v/>
      </c>
      <c r="O262" s="13" t="str">
        <f aca="false">IF(M262="Fuera de plazo",IF(J262="Listo para recoger","Cliente (no recoge)","Tienda o proveedor"),"")</f>
        <v/>
      </c>
      <c r="P262" s="13" t="str">
        <f aca="false">IF(A262="","",COUNTIF(Incidencias!$B$2:$B$151,A262))</f>
        <v/>
      </c>
      <c r="Q262" s="13" t="str">
        <f aca="false">IF(A262="","",COUNTIFS(Incidencias!$B$2:$B$151,A262,Incidencias!$F$2:$F$151,"Abierta"))</f>
        <v/>
      </c>
      <c r="R262" s="21" t="str">
        <f aca="false">IF(L262="Sí",H262-I262,IF(A262="","",0))</f>
        <v/>
      </c>
      <c r="S262" s="13" t="str">
        <f aca="false">IF(AND(J262="Entregado",F262&lt;&gt;"",G262&lt;&gt;""),IF(G262&lt;=F262,"Sí","No"),"")</f>
        <v/>
      </c>
      <c r="T262" s="13" t="str">
        <f aca="false">IF(A262="","",IF(K262="Cliente no registrado","Cliente sin dar de alta",IF(F262="","Falta fecha prevista",IF(AND(J262="Entregado",G262=""),"Entregado sin fecha de entrega",IF(ISNA(MATCH(J262,Inicio!$Z$1:$Z$6,0)),"Estado no reconocido",IF(F262&lt;C262,"Prevista anterior al pedido",IF(AND(G262&lt;&gt;"",G262&lt;C262),"Entrega anterior al pedido","")))))))</f>
        <v/>
      </c>
      <c r="U262" s="13" t="str">
        <f aca="false">IF(L262&lt;&gt;"Sí","",IF(M262="Dato pendiente","Poner fecha prevista y avisar al cliente",IF(M262="En plazo","Seguimiento normal",IF(J262="Listo para recoger","Recordar la recogida al cliente",IF(J262="Esperando pieza","Pedir fecha al proveedor y avisar al cliente",IF(J262="En taller","Revisar con el taller","Confirmar el pedido con el proveedor"))))))</f>
        <v/>
      </c>
      <c r="V262" s="29" t="str">
        <f aca="false">IF(M262="Dato pendiente",1000+ROW()/10000,IF(M262="Fuera de plazo",N262+ROW()/10000,""))</f>
        <v/>
      </c>
      <c r="W262" s="30" t="str">
        <f aca="false">IF(T262="","",ROW())</f>
        <v/>
      </c>
    </row>
    <row r="263" customFormat="false" ht="15" hidden="false" customHeight="false" outlineLevel="0" collapsed="false">
      <c r="A263" s="13"/>
      <c r="B263" s="13"/>
      <c r="C263" s="28"/>
      <c r="D263" s="13"/>
      <c r="E263" s="13"/>
      <c r="F263" s="28"/>
      <c r="G263" s="28"/>
      <c r="H263" s="21"/>
      <c r="I263" s="21"/>
      <c r="J263" s="13"/>
      <c r="K263" s="13" t="str">
        <f aca="false">IF(A263="","",IFERROR(INDEX(Clientes!$B$2:$B$200,MATCH(B263,Clientes!$A$2:$A$200,0)),"Cliente no registrado"))</f>
        <v/>
      </c>
      <c r="L263" s="13" t="str">
        <f aca="false">IF(A263="","",IF(OR(J263="Entregado",J263="Anulado"),"No","Sí"))</f>
        <v/>
      </c>
      <c r="M263" s="13" t="str">
        <f aca="false">IF(A263="","",IF(J263="Entregado","Entregado",IF(J263="Anulado","Anulado",IF(F263="","Dato pendiente",IF(F263&lt;Control!$C$4,"Fuera de plazo","En plazo")))))</f>
        <v/>
      </c>
      <c r="N263" s="13" t="str">
        <f aca="false">IF(M263="Fuera de plazo",Control!$C$4-F263,"")</f>
        <v/>
      </c>
      <c r="O263" s="13" t="str">
        <f aca="false">IF(M263="Fuera de plazo",IF(J263="Listo para recoger","Cliente (no recoge)","Tienda o proveedor"),"")</f>
        <v/>
      </c>
      <c r="P263" s="13" t="str">
        <f aca="false">IF(A263="","",COUNTIF(Incidencias!$B$2:$B$151,A263))</f>
        <v/>
      </c>
      <c r="Q263" s="13" t="str">
        <f aca="false">IF(A263="","",COUNTIFS(Incidencias!$B$2:$B$151,A263,Incidencias!$F$2:$F$151,"Abierta"))</f>
        <v/>
      </c>
      <c r="R263" s="21" t="str">
        <f aca="false">IF(L263="Sí",H263-I263,IF(A263="","",0))</f>
        <v/>
      </c>
      <c r="S263" s="13" t="str">
        <f aca="false">IF(AND(J263="Entregado",F263&lt;&gt;"",G263&lt;&gt;""),IF(G263&lt;=F263,"Sí","No"),"")</f>
        <v/>
      </c>
      <c r="T263" s="13" t="str">
        <f aca="false">IF(A263="","",IF(K263="Cliente no registrado","Cliente sin dar de alta",IF(F263="","Falta fecha prevista",IF(AND(J263="Entregado",G263=""),"Entregado sin fecha de entrega",IF(ISNA(MATCH(J263,Inicio!$Z$1:$Z$6,0)),"Estado no reconocido",IF(F263&lt;C263,"Prevista anterior al pedido",IF(AND(G263&lt;&gt;"",G263&lt;C263),"Entrega anterior al pedido","")))))))</f>
        <v/>
      </c>
      <c r="U263" s="13" t="str">
        <f aca="false">IF(L263&lt;&gt;"Sí","",IF(M263="Dato pendiente","Poner fecha prevista y avisar al cliente",IF(M263="En plazo","Seguimiento normal",IF(J263="Listo para recoger","Recordar la recogida al cliente",IF(J263="Esperando pieza","Pedir fecha al proveedor y avisar al cliente",IF(J263="En taller","Revisar con el taller","Confirmar el pedido con el proveedor"))))))</f>
        <v/>
      </c>
      <c r="V263" s="29" t="str">
        <f aca="false">IF(M263="Dato pendiente",1000+ROW()/10000,IF(M263="Fuera de plazo",N263+ROW()/10000,""))</f>
        <v/>
      </c>
      <c r="W263" s="30" t="str">
        <f aca="false">IF(T263="","",ROW())</f>
        <v/>
      </c>
    </row>
    <row r="264" customFormat="false" ht="15" hidden="false" customHeight="false" outlineLevel="0" collapsed="false">
      <c r="A264" s="13"/>
      <c r="B264" s="13"/>
      <c r="C264" s="28"/>
      <c r="D264" s="13"/>
      <c r="E264" s="13"/>
      <c r="F264" s="28"/>
      <c r="G264" s="28"/>
      <c r="H264" s="21"/>
      <c r="I264" s="21"/>
      <c r="J264" s="13"/>
      <c r="K264" s="13" t="str">
        <f aca="false">IF(A264="","",IFERROR(INDEX(Clientes!$B$2:$B$200,MATCH(B264,Clientes!$A$2:$A$200,0)),"Cliente no registrado"))</f>
        <v/>
      </c>
      <c r="L264" s="13" t="str">
        <f aca="false">IF(A264="","",IF(OR(J264="Entregado",J264="Anulado"),"No","Sí"))</f>
        <v/>
      </c>
      <c r="M264" s="13" t="str">
        <f aca="false">IF(A264="","",IF(J264="Entregado","Entregado",IF(J264="Anulado","Anulado",IF(F264="","Dato pendiente",IF(F264&lt;Control!$C$4,"Fuera de plazo","En plazo")))))</f>
        <v/>
      </c>
      <c r="N264" s="13" t="str">
        <f aca="false">IF(M264="Fuera de plazo",Control!$C$4-F264,"")</f>
        <v/>
      </c>
      <c r="O264" s="13" t="str">
        <f aca="false">IF(M264="Fuera de plazo",IF(J264="Listo para recoger","Cliente (no recoge)","Tienda o proveedor"),"")</f>
        <v/>
      </c>
      <c r="P264" s="13" t="str">
        <f aca="false">IF(A264="","",COUNTIF(Incidencias!$B$2:$B$151,A264))</f>
        <v/>
      </c>
      <c r="Q264" s="13" t="str">
        <f aca="false">IF(A264="","",COUNTIFS(Incidencias!$B$2:$B$151,A264,Incidencias!$F$2:$F$151,"Abierta"))</f>
        <v/>
      </c>
      <c r="R264" s="21" t="str">
        <f aca="false">IF(L264="Sí",H264-I264,IF(A264="","",0))</f>
        <v/>
      </c>
      <c r="S264" s="13" t="str">
        <f aca="false">IF(AND(J264="Entregado",F264&lt;&gt;"",G264&lt;&gt;""),IF(G264&lt;=F264,"Sí","No"),"")</f>
        <v/>
      </c>
      <c r="T264" s="13" t="str">
        <f aca="false">IF(A264="","",IF(K264="Cliente no registrado","Cliente sin dar de alta",IF(F264="","Falta fecha prevista",IF(AND(J264="Entregado",G264=""),"Entregado sin fecha de entrega",IF(ISNA(MATCH(J264,Inicio!$Z$1:$Z$6,0)),"Estado no reconocido",IF(F264&lt;C264,"Prevista anterior al pedido",IF(AND(G264&lt;&gt;"",G264&lt;C264),"Entrega anterior al pedido","")))))))</f>
        <v/>
      </c>
      <c r="U264" s="13" t="str">
        <f aca="false">IF(L264&lt;&gt;"Sí","",IF(M264="Dato pendiente","Poner fecha prevista y avisar al cliente",IF(M264="En plazo","Seguimiento normal",IF(J264="Listo para recoger","Recordar la recogida al cliente",IF(J264="Esperando pieza","Pedir fecha al proveedor y avisar al cliente",IF(J264="En taller","Revisar con el taller","Confirmar el pedido con el proveedor"))))))</f>
        <v/>
      </c>
      <c r="V264" s="29" t="str">
        <f aca="false">IF(M264="Dato pendiente",1000+ROW()/10000,IF(M264="Fuera de plazo",N264+ROW()/10000,""))</f>
        <v/>
      </c>
      <c r="W264" s="30" t="str">
        <f aca="false">IF(T264="","",ROW())</f>
        <v/>
      </c>
    </row>
    <row r="265" customFormat="false" ht="15" hidden="false" customHeight="false" outlineLevel="0" collapsed="false">
      <c r="A265" s="13"/>
      <c r="B265" s="13"/>
      <c r="C265" s="28"/>
      <c r="D265" s="13"/>
      <c r="E265" s="13"/>
      <c r="F265" s="28"/>
      <c r="G265" s="28"/>
      <c r="H265" s="21"/>
      <c r="I265" s="21"/>
      <c r="J265" s="13"/>
      <c r="K265" s="13" t="str">
        <f aca="false">IF(A265="","",IFERROR(INDEX(Clientes!$B$2:$B$200,MATCH(B265,Clientes!$A$2:$A$200,0)),"Cliente no registrado"))</f>
        <v/>
      </c>
      <c r="L265" s="13" t="str">
        <f aca="false">IF(A265="","",IF(OR(J265="Entregado",J265="Anulado"),"No","Sí"))</f>
        <v/>
      </c>
      <c r="M265" s="13" t="str">
        <f aca="false">IF(A265="","",IF(J265="Entregado","Entregado",IF(J265="Anulado","Anulado",IF(F265="","Dato pendiente",IF(F265&lt;Control!$C$4,"Fuera de plazo","En plazo")))))</f>
        <v/>
      </c>
      <c r="N265" s="13" t="str">
        <f aca="false">IF(M265="Fuera de plazo",Control!$C$4-F265,"")</f>
        <v/>
      </c>
      <c r="O265" s="13" t="str">
        <f aca="false">IF(M265="Fuera de plazo",IF(J265="Listo para recoger","Cliente (no recoge)","Tienda o proveedor"),"")</f>
        <v/>
      </c>
      <c r="P265" s="13" t="str">
        <f aca="false">IF(A265="","",COUNTIF(Incidencias!$B$2:$B$151,A265))</f>
        <v/>
      </c>
      <c r="Q265" s="13" t="str">
        <f aca="false">IF(A265="","",COUNTIFS(Incidencias!$B$2:$B$151,A265,Incidencias!$F$2:$F$151,"Abierta"))</f>
        <v/>
      </c>
      <c r="R265" s="21" t="str">
        <f aca="false">IF(L265="Sí",H265-I265,IF(A265="","",0))</f>
        <v/>
      </c>
      <c r="S265" s="13" t="str">
        <f aca="false">IF(AND(J265="Entregado",F265&lt;&gt;"",G265&lt;&gt;""),IF(G265&lt;=F265,"Sí","No"),"")</f>
        <v/>
      </c>
      <c r="T265" s="13" t="str">
        <f aca="false">IF(A265="","",IF(K265="Cliente no registrado","Cliente sin dar de alta",IF(F265="","Falta fecha prevista",IF(AND(J265="Entregado",G265=""),"Entregado sin fecha de entrega",IF(ISNA(MATCH(J265,Inicio!$Z$1:$Z$6,0)),"Estado no reconocido",IF(F265&lt;C265,"Prevista anterior al pedido",IF(AND(G265&lt;&gt;"",G265&lt;C265),"Entrega anterior al pedido","")))))))</f>
        <v/>
      </c>
      <c r="U265" s="13" t="str">
        <f aca="false">IF(L265&lt;&gt;"Sí","",IF(M265="Dato pendiente","Poner fecha prevista y avisar al cliente",IF(M265="En plazo","Seguimiento normal",IF(J265="Listo para recoger","Recordar la recogida al cliente",IF(J265="Esperando pieza","Pedir fecha al proveedor y avisar al cliente",IF(J265="En taller","Revisar con el taller","Confirmar el pedido con el proveedor"))))))</f>
        <v/>
      </c>
      <c r="V265" s="29" t="str">
        <f aca="false">IF(M265="Dato pendiente",1000+ROW()/10000,IF(M265="Fuera de plazo",N265+ROW()/10000,""))</f>
        <v/>
      </c>
      <c r="W265" s="30" t="str">
        <f aca="false">IF(T265="","",ROW())</f>
        <v/>
      </c>
    </row>
    <row r="266" customFormat="false" ht="15" hidden="false" customHeight="false" outlineLevel="0" collapsed="false">
      <c r="A266" s="13"/>
      <c r="B266" s="13"/>
      <c r="C266" s="28"/>
      <c r="D266" s="13"/>
      <c r="E266" s="13"/>
      <c r="F266" s="28"/>
      <c r="G266" s="28"/>
      <c r="H266" s="21"/>
      <c r="I266" s="21"/>
      <c r="J266" s="13"/>
      <c r="K266" s="13" t="str">
        <f aca="false">IF(A266="","",IFERROR(INDEX(Clientes!$B$2:$B$200,MATCH(B266,Clientes!$A$2:$A$200,0)),"Cliente no registrado"))</f>
        <v/>
      </c>
      <c r="L266" s="13" t="str">
        <f aca="false">IF(A266="","",IF(OR(J266="Entregado",J266="Anulado"),"No","Sí"))</f>
        <v/>
      </c>
      <c r="M266" s="13" t="str">
        <f aca="false">IF(A266="","",IF(J266="Entregado","Entregado",IF(J266="Anulado","Anulado",IF(F266="","Dato pendiente",IF(F266&lt;Control!$C$4,"Fuera de plazo","En plazo")))))</f>
        <v/>
      </c>
      <c r="N266" s="13" t="str">
        <f aca="false">IF(M266="Fuera de plazo",Control!$C$4-F266,"")</f>
        <v/>
      </c>
      <c r="O266" s="13" t="str">
        <f aca="false">IF(M266="Fuera de plazo",IF(J266="Listo para recoger","Cliente (no recoge)","Tienda o proveedor"),"")</f>
        <v/>
      </c>
      <c r="P266" s="13" t="str">
        <f aca="false">IF(A266="","",COUNTIF(Incidencias!$B$2:$B$151,A266))</f>
        <v/>
      </c>
      <c r="Q266" s="13" t="str">
        <f aca="false">IF(A266="","",COUNTIFS(Incidencias!$B$2:$B$151,A266,Incidencias!$F$2:$F$151,"Abierta"))</f>
        <v/>
      </c>
      <c r="R266" s="21" t="str">
        <f aca="false">IF(L266="Sí",H266-I266,IF(A266="","",0))</f>
        <v/>
      </c>
      <c r="S266" s="13" t="str">
        <f aca="false">IF(AND(J266="Entregado",F266&lt;&gt;"",G266&lt;&gt;""),IF(G266&lt;=F266,"Sí","No"),"")</f>
        <v/>
      </c>
      <c r="T266" s="13" t="str">
        <f aca="false">IF(A266="","",IF(K266="Cliente no registrado","Cliente sin dar de alta",IF(F266="","Falta fecha prevista",IF(AND(J266="Entregado",G266=""),"Entregado sin fecha de entrega",IF(ISNA(MATCH(J266,Inicio!$Z$1:$Z$6,0)),"Estado no reconocido",IF(F266&lt;C266,"Prevista anterior al pedido",IF(AND(G266&lt;&gt;"",G266&lt;C266),"Entrega anterior al pedido","")))))))</f>
        <v/>
      </c>
      <c r="U266" s="13" t="str">
        <f aca="false">IF(L266&lt;&gt;"Sí","",IF(M266="Dato pendiente","Poner fecha prevista y avisar al cliente",IF(M266="En plazo","Seguimiento normal",IF(J266="Listo para recoger","Recordar la recogida al cliente",IF(J266="Esperando pieza","Pedir fecha al proveedor y avisar al cliente",IF(J266="En taller","Revisar con el taller","Confirmar el pedido con el proveedor"))))))</f>
        <v/>
      </c>
      <c r="V266" s="29" t="str">
        <f aca="false">IF(M266="Dato pendiente",1000+ROW()/10000,IF(M266="Fuera de plazo",N266+ROW()/10000,""))</f>
        <v/>
      </c>
      <c r="W266" s="30" t="str">
        <f aca="false">IF(T266="","",ROW())</f>
        <v/>
      </c>
    </row>
    <row r="267" customFormat="false" ht="15" hidden="false" customHeight="false" outlineLevel="0" collapsed="false">
      <c r="A267" s="13"/>
      <c r="B267" s="13"/>
      <c r="C267" s="28"/>
      <c r="D267" s="13"/>
      <c r="E267" s="13"/>
      <c r="F267" s="28"/>
      <c r="G267" s="28"/>
      <c r="H267" s="21"/>
      <c r="I267" s="21"/>
      <c r="J267" s="13"/>
      <c r="K267" s="13" t="str">
        <f aca="false">IF(A267="","",IFERROR(INDEX(Clientes!$B$2:$B$200,MATCH(B267,Clientes!$A$2:$A$200,0)),"Cliente no registrado"))</f>
        <v/>
      </c>
      <c r="L267" s="13" t="str">
        <f aca="false">IF(A267="","",IF(OR(J267="Entregado",J267="Anulado"),"No","Sí"))</f>
        <v/>
      </c>
      <c r="M267" s="13" t="str">
        <f aca="false">IF(A267="","",IF(J267="Entregado","Entregado",IF(J267="Anulado","Anulado",IF(F267="","Dato pendiente",IF(F267&lt;Control!$C$4,"Fuera de plazo","En plazo")))))</f>
        <v/>
      </c>
      <c r="N267" s="13" t="str">
        <f aca="false">IF(M267="Fuera de plazo",Control!$C$4-F267,"")</f>
        <v/>
      </c>
      <c r="O267" s="13" t="str">
        <f aca="false">IF(M267="Fuera de plazo",IF(J267="Listo para recoger","Cliente (no recoge)","Tienda o proveedor"),"")</f>
        <v/>
      </c>
      <c r="P267" s="13" t="str">
        <f aca="false">IF(A267="","",COUNTIF(Incidencias!$B$2:$B$151,A267))</f>
        <v/>
      </c>
      <c r="Q267" s="13" t="str">
        <f aca="false">IF(A267="","",COUNTIFS(Incidencias!$B$2:$B$151,A267,Incidencias!$F$2:$F$151,"Abierta"))</f>
        <v/>
      </c>
      <c r="R267" s="21" t="str">
        <f aca="false">IF(L267="Sí",H267-I267,IF(A267="","",0))</f>
        <v/>
      </c>
      <c r="S267" s="13" t="str">
        <f aca="false">IF(AND(J267="Entregado",F267&lt;&gt;"",G267&lt;&gt;""),IF(G267&lt;=F267,"Sí","No"),"")</f>
        <v/>
      </c>
      <c r="T267" s="13" t="str">
        <f aca="false">IF(A267="","",IF(K267="Cliente no registrado","Cliente sin dar de alta",IF(F267="","Falta fecha prevista",IF(AND(J267="Entregado",G267=""),"Entregado sin fecha de entrega",IF(ISNA(MATCH(J267,Inicio!$Z$1:$Z$6,0)),"Estado no reconocido",IF(F267&lt;C267,"Prevista anterior al pedido",IF(AND(G267&lt;&gt;"",G267&lt;C267),"Entrega anterior al pedido","")))))))</f>
        <v/>
      </c>
      <c r="U267" s="13" t="str">
        <f aca="false">IF(L267&lt;&gt;"Sí","",IF(M267="Dato pendiente","Poner fecha prevista y avisar al cliente",IF(M267="En plazo","Seguimiento normal",IF(J267="Listo para recoger","Recordar la recogida al cliente",IF(J267="Esperando pieza","Pedir fecha al proveedor y avisar al cliente",IF(J267="En taller","Revisar con el taller","Confirmar el pedido con el proveedor"))))))</f>
        <v/>
      </c>
      <c r="V267" s="29" t="str">
        <f aca="false">IF(M267="Dato pendiente",1000+ROW()/10000,IF(M267="Fuera de plazo",N267+ROW()/10000,""))</f>
        <v/>
      </c>
      <c r="W267" s="30" t="str">
        <f aca="false">IF(T267="","",ROW())</f>
        <v/>
      </c>
    </row>
    <row r="268" customFormat="false" ht="15" hidden="false" customHeight="false" outlineLevel="0" collapsed="false">
      <c r="A268" s="13"/>
      <c r="B268" s="13"/>
      <c r="C268" s="28"/>
      <c r="D268" s="13"/>
      <c r="E268" s="13"/>
      <c r="F268" s="28"/>
      <c r="G268" s="28"/>
      <c r="H268" s="21"/>
      <c r="I268" s="21"/>
      <c r="J268" s="13"/>
      <c r="K268" s="13" t="str">
        <f aca="false">IF(A268="","",IFERROR(INDEX(Clientes!$B$2:$B$200,MATCH(B268,Clientes!$A$2:$A$200,0)),"Cliente no registrado"))</f>
        <v/>
      </c>
      <c r="L268" s="13" t="str">
        <f aca="false">IF(A268="","",IF(OR(J268="Entregado",J268="Anulado"),"No","Sí"))</f>
        <v/>
      </c>
      <c r="M268" s="13" t="str">
        <f aca="false">IF(A268="","",IF(J268="Entregado","Entregado",IF(J268="Anulado","Anulado",IF(F268="","Dato pendiente",IF(F268&lt;Control!$C$4,"Fuera de plazo","En plazo")))))</f>
        <v/>
      </c>
      <c r="N268" s="13" t="str">
        <f aca="false">IF(M268="Fuera de plazo",Control!$C$4-F268,"")</f>
        <v/>
      </c>
      <c r="O268" s="13" t="str">
        <f aca="false">IF(M268="Fuera de plazo",IF(J268="Listo para recoger","Cliente (no recoge)","Tienda o proveedor"),"")</f>
        <v/>
      </c>
      <c r="P268" s="13" t="str">
        <f aca="false">IF(A268="","",COUNTIF(Incidencias!$B$2:$B$151,A268))</f>
        <v/>
      </c>
      <c r="Q268" s="13" t="str">
        <f aca="false">IF(A268="","",COUNTIFS(Incidencias!$B$2:$B$151,A268,Incidencias!$F$2:$F$151,"Abierta"))</f>
        <v/>
      </c>
      <c r="R268" s="21" t="str">
        <f aca="false">IF(L268="Sí",H268-I268,IF(A268="","",0))</f>
        <v/>
      </c>
      <c r="S268" s="13" t="str">
        <f aca="false">IF(AND(J268="Entregado",F268&lt;&gt;"",G268&lt;&gt;""),IF(G268&lt;=F268,"Sí","No"),"")</f>
        <v/>
      </c>
      <c r="T268" s="13" t="str">
        <f aca="false">IF(A268="","",IF(K268="Cliente no registrado","Cliente sin dar de alta",IF(F268="","Falta fecha prevista",IF(AND(J268="Entregado",G268=""),"Entregado sin fecha de entrega",IF(ISNA(MATCH(J268,Inicio!$Z$1:$Z$6,0)),"Estado no reconocido",IF(F268&lt;C268,"Prevista anterior al pedido",IF(AND(G268&lt;&gt;"",G268&lt;C268),"Entrega anterior al pedido","")))))))</f>
        <v/>
      </c>
      <c r="U268" s="13" t="str">
        <f aca="false">IF(L268&lt;&gt;"Sí","",IF(M268="Dato pendiente","Poner fecha prevista y avisar al cliente",IF(M268="En plazo","Seguimiento normal",IF(J268="Listo para recoger","Recordar la recogida al cliente",IF(J268="Esperando pieza","Pedir fecha al proveedor y avisar al cliente",IF(J268="En taller","Revisar con el taller","Confirmar el pedido con el proveedor"))))))</f>
        <v/>
      </c>
      <c r="V268" s="29" t="str">
        <f aca="false">IF(M268="Dato pendiente",1000+ROW()/10000,IF(M268="Fuera de plazo",N268+ROW()/10000,""))</f>
        <v/>
      </c>
      <c r="W268" s="30" t="str">
        <f aca="false">IF(T268="","",ROW())</f>
        <v/>
      </c>
    </row>
    <row r="269" customFormat="false" ht="15" hidden="false" customHeight="false" outlineLevel="0" collapsed="false">
      <c r="A269" s="13"/>
      <c r="B269" s="13"/>
      <c r="C269" s="28"/>
      <c r="D269" s="13"/>
      <c r="E269" s="13"/>
      <c r="F269" s="28"/>
      <c r="G269" s="28"/>
      <c r="H269" s="21"/>
      <c r="I269" s="21"/>
      <c r="J269" s="13"/>
      <c r="K269" s="13" t="str">
        <f aca="false">IF(A269="","",IFERROR(INDEX(Clientes!$B$2:$B$200,MATCH(B269,Clientes!$A$2:$A$200,0)),"Cliente no registrado"))</f>
        <v/>
      </c>
      <c r="L269" s="13" t="str">
        <f aca="false">IF(A269="","",IF(OR(J269="Entregado",J269="Anulado"),"No","Sí"))</f>
        <v/>
      </c>
      <c r="M269" s="13" t="str">
        <f aca="false">IF(A269="","",IF(J269="Entregado","Entregado",IF(J269="Anulado","Anulado",IF(F269="","Dato pendiente",IF(F269&lt;Control!$C$4,"Fuera de plazo","En plazo")))))</f>
        <v/>
      </c>
      <c r="N269" s="13" t="str">
        <f aca="false">IF(M269="Fuera de plazo",Control!$C$4-F269,"")</f>
        <v/>
      </c>
      <c r="O269" s="13" t="str">
        <f aca="false">IF(M269="Fuera de plazo",IF(J269="Listo para recoger","Cliente (no recoge)","Tienda o proveedor"),"")</f>
        <v/>
      </c>
      <c r="P269" s="13" t="str">
        <f aca="false">IF(A269="","",COUNTIF(Incidencias!$B$2:$B$151,A269))</f>
        <v/>
      </c>
      <c r="Q269" s="13" t="str">
        <f aca="false">IF(A269="","",COUNTIFS(Incidencias!$B$2:$B$151,A269,Incidencias!$F$2:$F$151,"Abierta"))</f>
        <v/>
      </c>
      <c r="R269" s="21" t="str">
        <f aca="false">IF(L269="Sí",H269-I269,IF(A269="","",0))</f>
        <v/>
      </c>
      <c r="S269" s="13" t="str">
        <f aca="false">IF(AND(J269="Entregado",F269&lt;&gt;"",G269&lt;&gt;""),IF(G269&lt;=F269,"Sí","No"),"")</f>
        <v/>
      </c>
      <c r="T269" s="13" t="str">
        <f aca="false">IF(A269="","",IF(K269="Cliente no registrado","Cliente sin dar de alta",IF(F269="","Falta fecha prevista",IF(AND(J269="Entregado",G269=""),"Entregado sin fecha de entrega",IF(ISNA(MATCH(J269,Inicio!$Z$1:$Z$6,0)),"Estado no reconocido",IF(F269&lt;C269,"Prevista anterior al pedido",IF(AND(G269&lt;&gt;"",G269&lt;C269),"Entrega anterior al pedido","")))))))</f>
        <v/>
      </c>
      <c r="U269" s="13" t="str">
        <f aca="false">IF(L269&lt;&gt;"Sí","",IF(M269="Dato pendiente","Poner fecha prevista y avisar al cliente",IF(M269="En plazo","Seguimiento normal",IF(J269="Listo para recoger","Recordar la recogida al cliente",IF(J269="Esperando pieza","Pedir fecha al proveedor y avisar al cliente",IF(J269="En taller","Revisar con el taller","Confirmar el pedido con el proveedor"))))))</f>
        <v/>
      </c>
      <c r="V269" s="29" t="str">
        <f aca="false">IF(M269="Dato pendiente",1000+ROW()/10000,IF(M269="Fuera de plazo",N269+ROW()/10000,""))</f>
        <v/>
      </c>
      <c r="W269" s="30" t="str">
        <f aca="false">IF(T269="","",ROW())</f>
        <v/>
      </c>
    </row>
    <row r="270" customFormat="false" ht="15" hidden="false" customHeight="false" outlineLevel="0" collapsed="false">
      <c r="A270" s="13"/>
      <c r="B270" s="13"/>
      <c r="C270" s="28"/>
      <c r="D270" s="13"/>
      <c r="E270" s="13"/>
      <c r="F270" s="28"/>
      <c r="G270" s="28"/>
      <c r="H270" s="21"/>
      <c r="I270" s="21"/>
      <c r="J270" s="13"/>
      <c r="K270" s="13" t="str">
        <f aca="false">IF(A270="","",IFERROR(INDEX(Clientes!$B$2:$B$200,MATCH(B270,Clientes!$A$2:$A$200,0)),"Cliente no registrado"))</f>
        <v/>
      </c>
      <c r="L270" s="13" t="str">
        <f aca="false">IF(A270="","",IF(OR(J270="Entregado",J270="Anulado"),"No","Sí"))</f>
        <v/>
      </c>
      <c r="M270" s="13" t="str">
        <f aca="false">IF(A270="","",IF(J270="Entregado","Entregado",IF(J270="Anulado","Anulado",IF(F270="","Dato pendiente",IF(F270&lt;Control!$C$4,"Fuera de plazo","En plazo")))))</f>
        <v/>
      </c>
      <c r="N270" s="13" t="str">
        <f aca="false">IF(M270="Fuera de plazo",Control!$C$4-F270,"")</f>
        <v/>
      </c>
      <c r="O270" s="13" t="str">
        <f aca="false">IF(M270="Fuera de plazo",IF(J270="Listo para recoger","Cliente (no recoge)","Tienda o proveedor"),"")</f>
        <v/>
      </c>
      <c r="P270" s="13" t="str">
        <f aca="false">IF(A270="","",COUNTIF(Incidencias!$B$2:$B$151,A270))</f>
        <v/>
      </c>
      <c r="Q270" s="13" t="str">
        <f aca="false">IF(A270="","",COUNTIFS(Incidencias!$B$2:$B$151,A270,Incidencias!$F$2:$F$151,"Abierta"))</f>
        <v/>
      </c>
      <c r="R270" s="21" t="str">
        <f aca="false">IF(L270="Sí",H270-I270,IF(A270="","",0))</f>
        <v/>
      </c>
      <c r="S270" s="13" t="str">
        <f aca="false">IF(AND(J270="Entregado",F270&lt;&gt;"",G270&lt;&gt;""),IF(G270&lt;=F270,"Sí","No"),"")</f>
        <v/>
      </c>
      <c r="T270" s="13" t="str">
        <f aca="false">IF(A270="","",IF(K270="Cliente no registrado","Cliente sin dar de alta",IF(F270="","Falta fecha prevista",IF(AND(J270="Entregado",G270=""),"Entregado sin fecha de entrega",IF(ISNA(MATCH(J270,Inicio!$Z$1:$Z$6,0)),"Estado no reconocido",IF(F270&lt;C270,"Prevista anterior al pedido",IF(AND(G270&lt;&gt;"",G270&lt;C270),"Entrega anterior al pedido","")))))))</f>
        <v/>
      </c>
      <c r="U270" s="13" t="str">
        <f aca="false">IF(L270&lt;&gt;"Sí","",IF(M270="Dato pendiente","Poner fecha prevista y avisar al cliente",IF(M270="En plazo","Seguimiento normal",IF(J270="Listo para recoger","Recordar la recogida al cliente",IF(J270="Esperando pieza","Pedir fecha al proveedor y avisar al cliente",IF(J270="En taller","Revisar con el taller","Confirmar el pedido con el proveedor"))))))</f>
        <v/>
      </c>
      <c r="V270" s="29" t="str">
        <f aca="false">IF(M270="Dato pendiente",1000+ROW()/10000,IF(M270="Fuera de plazo",N270+ROW()/10000,""))</f>
        <v/>
      </c>
      <c r="W270" s="30" t="str">
        <f aca="false">IF(T270="","",ROW())</f>
        <v/>
      </c>
    </row>
    <row r="271" customFormat="false" ht="15" hidden="false" customHeight="false" outlineLevel="0" collapsed="false">
      <c r="A271" s="13"/>
      <c r="B271" s="13"/>
      <c r="C271" s="28"/>
      <c r="D271" s="13"/>
      <c r="E271" s="13"/>
      <c r="F271" s="28"/>
      <c r="G271" s="28"/>
      <c r="H271" s="21"/>
      <c r="I271" s="21"/>
      <c r="J271" s="13"/>
      <c r="K271" s="13" t="str">
        <f aca="false">IF(A271="","",IFERROR(INDEX(Clientes!$B$2:$B$200,MATCH(B271,Clientes!$A$2:$A$200,0)),"Cliente no registrado"))</f>
        <v/>
      </c>
      <c r="L271" s="13" t="str">
        <f aca="false">IF(A271="","",IF(OR(J271="Entregado",J271="Anulado"),"No","Sí"))</f>
        <v/>
      </c>
      <c r="M271" s="13" t="str">
        <f aca="false">IF(A271="","",IF(J271="Entregado","Entregado",IF(J271="Anulado","Anulado",IF(F271="","Dato pendiente",IF(F271&lt;Control!$C$4,"Fuera de plazo","En plazo")))))</f>
        <v/>
      </c>
      <c r="N271" s="13" t="str">
        <f aca="false">IF(M271="Fuera de plazo",Control!$C$4-F271,"")</f>
        <v/>
      </c>
      <c r="O271" s="13" t="str">
        <f aca="false">IF(M271="Fuera de plazo",IF(J271="Listo para recoger","Cliente (no recoge)","Tienda o proveedor"),"")</f>
        <v/>
      </c>
      <c r="P271" s="13" t="str">
        <f aca="false">IF(A271="","",COUNTIF(Incidencias!$B$2:$B$151,A271))</f>
        <v/>
      </c>
      <c r="Q271" s="13" t="str">
        <f aca="false">IF(A271="","",COUNTIFS(Incidencias!$B$2:$B$151,A271,Incidencias!$F$2:$F$151,"Abierta"))</f>
        <v/>
      </c>
      <c r="R271" s="21" t="str">
        <f aca="false">IF(L271="Sí",H271-I271,IF(A271="","",0))</f>
        <v/>
      </c>
      <c r="S271" s="13" t="str">
        <f aca="false">IF(AND(J271="Entregado",F271&lt;&gt;"",G271&lt;&gt;""),IF(G271&lt;=F271,"Sí","No"),"")</f>
        <v/>
      </c>
      <c r="T271" s="13" t="str">
        <f aca="false">IF(A271="","",IF(K271="Cliente no registrado","Cliente sin dar de alta",IF(F271="","Falta fecha prevista",IF(AND(J271="Entregado",G271=""),"Entregado sin fecha de entrega",IF(ISNA(MATCH(J271,Inicio!$Z$1:$Z$6,0)),"Estado no reconocido",IF(F271&lt;C271,"Prevista anterior al pedido",IF(AND(G271&lt;&gt;"",G271&lt;C271),"Entrega anterior al pedido","")))))))</f>
        <v/>
      </c>
      <c r="U271" s="13" t="str">
        <f aca="false">IF(L271&lt;&gt;"Sí","",IF(M271="Dato pendiente","Poner fecha prevista y avisar al cliente",IF(M271="En plazo","Seguimiento normal",IF(J271="Listo para recoger","Recordar la recogida al cliente",IF(J271="Esperando pieza","Pedir fecha al proveedor y avisar al cliente",IF(J271="En taller","Revisar con el taller","Confirmar el pedido con el proveedor"))))))</f>
        <v/>
      </c>
      <c r="V271" s="29" t="str">
        <f aca="false">IF(M271="Dato pendiente",1000+ROW()/10000,IF(M271="Fuera de plazo",N271+ROW()/10000,""))</f>
        <v/>
      </c>
      <c r="W271" s="30" t="str">
        <f aca="false">IF(T271="","",ROW())</f>
        <v/>
      </c>
    </row>
    <row r="272" customFormat="false" ht="15" hidden="false" customHeight="false" outlineLevel="0" collapsed="false">
      <c r="A272" s="13"/>
      <c r="B272" s="13"/>
      <c r="C272" s="28"/>
      <c r="D272" s="13"/>
      <c r="E272" s="13"/>
      <c r="F272" s="28"/>
      <c r="G272" s="28"/>
      <c r="H272" s="21"/>
      <c r="I272" s="21"/>
      <c r="J272" s="13"/>
      <c r="K272" s="13" t="str">
        <f aca="false">IF(A272="","",IFERROR(INDEX(Clientes!$B$2:$B$200,MATCH(B272,Clientes!$A$2:$A$200,0)),"Cliente no registrado"))</f>
        <v/>
      </c>
      <c r="L272" s="13" t="str">
        <f aca="false">IF(A272="","",IF(OR(J272="Entregado",J272="Anulado"),"No","Sí"))</f>
        <v/>
      </c>
      <c r="M272" s="13" t="str">
        <f aca="false">IF(A272="","",IF(J272="Entregado","Entregado",IF(J272="Anulado","Anulado",IF(F272="","Dato pendiente",IF(F272&lt;Control!$C$4,"Fuera de plazo","En plazo")))))</f>
        <v/>
      </c>
      <c r="N272" s="13" t="str">
        <f aca="false">IF(M272="Fuera de plazo",Control!$C$4-F272,"")</f>
        <v/>
      </c>
      <c r="O272" s="13" t="str">
        <f aca="false">IF(M272="Fuera de plazo",IF(J272="Listo para recoger","Cliente (no recoge)","Tienda o proveedor"),"")</f>
        <v/>
      </c>
      <c r="P272" s="13" t="str">
        <f aca="false">IF(A272="","",COUNTIF(Incidencias!$B$2:$B$151,A272))</f>
        <v/>
      </c>
      <c r="Q272" s="13" t="str">
        <f aca="false">IF(A272="","",COUNTIFS(Incidencias!$B$2:$B$151,A272,Incidencias!$F$2:$F$151,"Abierta"))</f>
        <v/>
      </c>
      <c r="R272" s="21" t="str">
        <f aca="false">IF(L272="Sí",H272-I272,IF(A272="","",0))</f>
        <v/>
      </c>
      <c r="S272" s="13" t="str">
        <f aca="false">IF(AND(J272="Entregado",F272&lt;&gt;"",G272&lt;&gt;""),IF(G272&lt;=F272,"Sí","No"),"")</f>
        <v/>
      </c>
      <c r="T272" s="13" t="str">
        <f aca="false">IF(A272="","",IF(K272="Cliente no registrado","Cliente sin dar de alta",IF(F272="","Falta fecha prevista",IF(AND(J272="Entregado",G272=""),"Entregado sin fecha de entrega",IF(ISNA(MATCH(J272,Inicio!$Z$1:$Z$6,0)),"Estado no reconocido",IF(F272&lt;C272,"Prevista anterior al pedido",IF(AND(G272&lt;&gt;"",G272&lt;C272),"Entrega anterior al pedido","")))))))</f>
        <v/>
      </c>
      <c r="U272" s="13" t="str">
        <f aca="false">IF(L272&lt;&gt;"Sí","",IF(M272="Dato pendiente","Poner fecha prevista y avisar al cliente",IF(M272="En plazo","Seguimiento normal",IF(J272="Listo para recoger","Recordar la recogida al cliente",IF(J272="Esperando pieza","Pedir fecha al proveedor y avisar al cliente",IF(J272="En taller","Revisar con el taller","Confirmar el pedido con el proveedor"))))))</f>
        <v/>
      </c>
      <c r="V272" s="29" t="str">
        <f aca="false">IF(M272="Dato pendiente",1000+ROW()/10000,IF(M272="Fuera de plazo",N272+ROW()/10000,""))</f>
        <v/>
      </c>
      <c r="W272" s="30" t="str">
        <f aca="false">IF(T272="","",ROW())</f>
        <v/>
      </c>
    </row>
    <row r="273" customFormat="false" ht="15" hidden="false" customHeight="false" outlineLevel="0" collapsed="false">
      <c r="A273" s="13"/>
      <c r="B273" s="13"/>
      <c r="C273" s="28"/>
      <c r="D273" s="13"/>
      <c r="E273" s="13"/>
      <c r="F273" s="28"/>
      <c r="G273" s="28"/>
      <c r="H273" s="21"/>
      <c r="I273" s="21"/>
      <c r="J273" s="13"/>
      <c r="K273" s="13" t="str">
        <f aca="false">IF(A273="","",IFERROR(INDEX(Clientes!$B$2:$B$200,MATCH(B273,Clientes!$A$2:$A$200,0)),"Cliente no registrado"))</f>
        <v/>
      </c>
      <c r="L273" s="13" t="str">
        <f aca="false">IF(A273="","",IF(OR(J273="Entregado",J273="Anulado"),"No","Sí"))</f>
        <v/>
      </c>
      <c r="M273" s="13" t="str">
        <f aca="false">IF(A273="","",IF(J273="Entregado","Entregado",IF(J273="Anulado","Anulado",IF(F273="","Dato pendiente",IF(F273&lt;Control!$C$4,"Fuera de plazo","En plazo")))))</f>
        <v/>
      </c>
      <c r="N273" s="13" t="str">
        <f aca="false">IF(M273="Fuera de plazo",Control!$C$4-F273,"")</f>
        <v/>
      </c>
      <c r="O273" s="13" t="str">
        <f aca="false">IF(M273="Fuera de plazo",IF(J273="Listo para recoger","Cliente (no recoge)","Tienda o proveedor"),"")</f>
        <v/>
      </c>
      <c r="P273" s="13" t="str">
        <f aca="false">IF(A273="","",COUNTIF(Incidencias!$B$2:$B$151,A273))</f>
        <v/>
      </c>
      <c r="Q273" s="13" t="str">
        <f aca="false">IF(A273="","",COUNTIFS(Incidencias!$B$2:$B$151,A273,Incidencias!$F$2:$F$151,"Abierta"))</f>
        <v/>
      </c>
      <c r="R273" s="21" t="str">
        <f aca="false">IF(L273="Sí",H273-I273,IF(A273="","",0))</f>
        <v/>
      </c>
      <c r="S273" s="13" t="str">
        <f aca="false">IF(AND(J273="Entregado",F273&lt;&gt;"",G273&lt;&gt;""),IF(G273&lt;=F273,"Sí","No"),"")</f>
        <v/>
      </c>
      <c r="T273" s="13" t="str">
        <f aca="false">IF(A273="","",IF(K273="Cliente no registrado","Cliente sin dar de alta",IF(F273="","Falta fecha prevista",IF(AND(J273="Entregado",G273=""),"Entregado sin fecha de entrega",IF(ISNA(MATCH(J273,Inicio!$Z$1:$Z$6,0)),"Estado no reconocido",IF(F273&lt;C273,"Prevista anterior al pedido",IF(AND(G273&lt;&gt;"",G273&lt;C273),"Entrega anterior al pedido","")))))))</f>
        <v/>
      </c>
      <c r="U273" s="13" t="str">
        <f aca="false">IF(L273&lt;&gt;"Sí","",IF(M273="Dato pendiente","Poner fecha prevista y avisar al cliente",IF(M273="En plazo","Seguimiento normal",IF(J273="Listo para recoger","Recordar la recogida al cliente",IF(J273="Esperando pieza","Pedir fecha al proveedor y avisar al cliente",IF(J273="En taller","Revisar con el taller","Confirmar el pedido con el proveedor"))))))</f>
        <v/>
      </c>
      <c r="V273" s="29" t="str">
        <f aca="false">IF(M273="Dato pendiente",1000+ROW()/10000,IF(M273="Fuera de plazo",N273+ROW()/10000,""))</f>
        <v/>
      </c>
      <c r="W273" s="30" t="str">
        <f aca="false">IF(T273="","",ROW())</f>
        <v/>
      </c>
    </row>
    <row r="274" customFormat="false" ht="15" hidden="false" customHeight="false" outlineLevel="0" collapsed="false">
      <c r="A274" s="13"/>
      <c r="B274" s="13"/>
      <c r="C274" s="28"/>
      <c r="D274" s="13"/>
      <c r="E274" s="13"/>
      <c r="F274" s="28"/>
      <c r="G274" s="28"/>
      <c r="H274" s="21"/>
      <c r="I274" s="21"/>
      <c r="J274" s="13"/>
      <c r="K274" s="13" t="str">
        <f aca="false">IF(A274="","",IFERROR(INDEX(Clientes!$B$2:$B$200,MATCH(B274,Clientes!$A$2:$A$200,0)),"Cliente no registrado"))</f>
        <v/>
      </c>
      <c r="L274" s="13" t="str">
        <f aca="false">IF(A274="","",IF(OR(J274="Entregado",J274="Anulado"),"No","Sí"))</f>
        <v/>
      </c>
      <c r="M274" s="13" t="str">
        <f aca="false">IF(A274="","",IF(J274="Entregado","Entregado",IF(J274="Anulado","Anulado",IF(F274="","Dato pendiente",IF(F274&lt;Control!$C$4,"Fuera de plazo","En plazo")))))</f>
        <v/>
      </c>
      <c r="N274" s="13" t="str">
        <f aca="false">IF(M274="Fuera de plazo",Control!$C$4-F274,"")</f>
        <v/>
      </c>
      <c r="O274" s="13" t="str">
        <f aca="false">IF(M274="Fuera de plazo",IF(J274="Listo para recoger","Cliente (no recoge)","Tienda o proveedor"),"")</f>
        <v/>
      </c>
      <c r="P274" s="13" t="str">
        <f aca="false">IF(A274="","",COUNTIF(Incidencias!$B$2:$B$151,A274))</f>
        <v/>
      </c>
      <c r="Q274" s="13" t="str">
        <f aca="false">IF(A274="","",COUNTIFS(Incidencias!$B$2:$B$151,A274,Incidencias!$F$2:$F$151,"Abierta"))</f>
        <v/>
      </c>
      <c r="R274" s="21" t="str">
        <f aca="false">IF(L274="Sí",H274-I274,IF(A274="","",0))</f>
        <v/>
      </c>
      <c r="S274" s="13" t="str">
        <f aca="false">IF(AND(J274="Entregado",F274&lt;&gt;"",G274&lt;&gt;""),IF(G274&lt;=F274,"Sí","No"),"")</f>
        <v/>
      </c>
      <c r="T274" s="13" t="str">
        <f aca="false">IF(A274="","",IF(K274="Cliente no registrado","Cliente sin dar de alta",IF(F274="","Falta fecha prevista",IF(AND(J274="Entregado",G274=""),"Entregado sin fecha de entrega",IF(ISNA(MATCH(J274,Inicio!$Z$1:$Z$6,0)),"Estado no reconocido",IF(F274&lt;C274,"Prevista anterior al pedido",IF(AND(G274&lt;&gt;"",G274&lt;C274),"Entrega anterior al pedido","")))))))</f>
        <v/>
      </c>
      <c r="U274" s="13" t="str">
        <f aca="false">IF(L274&lt;&gt;"Sí","",IF(M274="Dato pendiente","Poner fecha prevista y avisar al cliente",IF(M274="En plazo","Seguimiento normal",IF(J274="Listo para recoger","Recordar la recogida al cliente",IF(J274="Esperando pieza","Pedir fecha al proveedor y avisar al cliente",IF(J274="En taller","Revisar con el taller","Confirmar el pedido con el proveedor"))))))</f>
        <v/>
      </c>
      <c r="V274" s="29" t="str">
        <f aca="false">IF(M274="Dato pendiente",1000+ROW()/10000,IF(M274="Fuera de plazo",N274+ROW()/10000,""))</f>
        <v/>
      </c>
      <c r="W274" s="30" t="str">
        <f aca="false">IF(T274="","",ROW())</f>
        <v/>
      </c>
    </row>
    <row r="275" customFormat="false" ht="15" hidden="false" customHeight="false" outlineLevel="0" collapsed="false">
      <c r="A275" s="13"/>
      <c r="B275" s="13"/>
      <c r="C275" s="28"/>
      <c r="D275" s="13"/>
      <c r="E275" s="13"/>
      <c r="F275" s="28"/>
      <c r="G275" s="28"/>
      <c r="H275" s="21"/>
      <c r="I275" s="21"/>
      <c r="J275" s="13"/>
      <c r="K275" s="13" t="str">
        <f aca="false">IF(A275="","",IFERROR(INDEX(Clientes!$B$2:$B$200,MATCH(B275,Clientes!$A$2:$A$200,0)),"Cliente no registrado"))</f>
        <v/>
      </c>
      <c r="L275" s="13" t="str">
        <f aca="false">IF(A275="","",IF(OR(J275="Entregado",J275="Anulado"),"No","Sí"))</f>
        <v/>
      </c>
      <c r="M275" s="13" t="str">
        <f aca="false">IF(A275="","",IF(J275="Entregado","Entregado",IF(J275="Anulado","Anulado",IF(F275="","Dato pendiente",IF(F275&lt;Control!$C$4,"Fuera de plazo","En plazo")))))</f>
        <v/>
      </c>
      <c r="N275" s="13" t="str">
        <f aca="false">IF(M275="Fuera de plazo",Control!$C$4-F275,"")</f>
        <v/>
      </c>
      <c r="O275" s="13" t="str">
        <f aca="false">IF(M275="Fuera de plazo",IF(J275="Listo para recoger","Cliente (no recoge)","Tienda o proveedor"),"")</f>
        <v/>
      </c>
      <c r="P275" s="13" t="str">
        <f aca="false">IF(A275="","",COUNTIF(Incidencias!$B$2:$B$151,A275))</f>
        <v/>
      </c>
      <c r="Q275" s="13" t="str">
        <f aca="false">IF(A275="","",COUNTIFS(Incidencias!$B$2:$B$151,A275,Incidencias!$F$2:$F$151,"Abierta"))</f>
        <v/>
      </c>
      <c r="R275" s="21" t="str">
        <f aca="false">IF(L275="Sí",H275-I275,IF(A275="","",0))</f>
        <v/>
      </c>
      <c r="S275" s="13" t="str">
        <f aca="false">IF(AND(J275="Entregado",F275&lt;&gt;"",G275&lt;&gt;""),IF(G275&lt;=F275,"Sí","No"),"")</f>
        <v/>
      </c>
      <c r="T275" s="13" t="str">
        <f aca="false">IF(A275="","",IF(K275="Cliente no registrado","Cliente sin dar de alta",IF(F275="","Falta fecha prevista",IF(AND(J275="Entregado",G275=""),"Entregado sin fecha de entrega",IF(ISNA(MATCH(J275,Inicio!$Z$1:$Z$6,0)),"Estado no reconocido",IF(F275&lt;C275,"Prevista anterior al pedido",IF(AND(G275&lt;&gt;"",G275&lt;C275),"Entrega anterior al pedido","")))))))</f>
        <v/>
      </c>
      <c r="U275" s="13" t="str">
        <f aca="false">IF(L275&lt;&gt;"Sí","",IF(M275="Dato pendiente","Poner fecha prevista y avisar al cliente",IF(M275="En plazo","Seguimiento normal",IF(J275="Listo para recoger","Recordar la recogida al cliente",IF(J275="Esperando pieza","Pedir fecha al proveedor y avisar al cliente",IF(J275="En taller","Revisar con el taller","Confirmar el pedido con el proveedor"))))))</f>
        <v/>
      </c>
      <c r="V275" s="29" t="str">
        <f aca="false">IF(M275="Dato pendiente",1000+ROW()/10000,IF(M275="Fuera de plazo",N275+ROW()/10000,""))</f>
        <v/>
      </c>
      <c r="W275" s="30" t="str">
        <f aca="false">IF(T275="","",ROW())</f>
        <v/>
      </c>
    </row>
    <row r="276" customFormat="false" ht="15" hidden="false" customHeight="false" outlineLevel="0" collapsed="false">
      <c r="A276" s="13"/>
      <c r="B276" s="13"/>
      <c r="C276" s="28"/>
      <c r="D276" s="13"/>
      <c r="E276" s="13"/>
      <c r="F276" s="28"/>
      <c r="G276" s="28"/>
      <c r="H276" s="21"/>
      <c r="I276" s="21"/>
      <c r="J276" s="13"/>
      <c r="K276" s="13" t="str">
        <f aca="false">IF(A276="","",IFERROR(INDEX(Clientes!$B$2:$B$200,MATCH(B276,Clientes!$A$2:$A$200,0)),"Cliente no registrado"))</f>
        <v/>
      </c>
      <c r="L276" s="13" t="str">
        <f aca="false">IF(A276="","",IF(OR(J276="Entregado",J276="Anulado"),"No","Sí"))</f>
        <v/>
      </c>
      <c r="M276" s="13" t="str">
        <f aca="false">IF(A276="","",IF(J276="Entregado","Entregado",IF(J276="Anulado","Anulado",IF(F276="","Dato pendiente",IF(F276&lt;Control!$C$4,"Fuera de plazo","En plazo")))))</f>
        <v/>
      </c>
      <c r="N276" s="13" t="str">
        <f aca="false">IF(M276="Fuera de plazo",Control!$C$4-F276,"")</f>
        <v/>
      </c>
      <c r="O276" s="13" t="str">
        <f aca="false">IF(M276="Fuera de plazo",IF(J276="Listo para recoger","Cliente (no recoge)","Tienda o proveedor"),"")</f>
        <v/>
      </c>
      <c r="P276" s="13" t="str">
        <f aca="false">IF(A276="","",COUNTIF(Incidencias!$B$2:$B$151,A276))</f>
        <v/>
      </c>
      <c r="Q276" s="13" t="str">
        <f aca="false">IF(A276="","",COUNTIFS(Incidencias!$B$2:$B$151,A276,Incidencias!$F$2:$F$151,"Abierta"))</f>
        <v/>
      </c>
      <c r="R276" s="21" t="str">
        <f aca="false">IF(L276="Sí",H276-I276,IF(A276="","",0))</f>
        <v/>
      </c>
      <c r="S276" s="13" t="str">
        <f aca="false">IF(AND(J276="Entregado",F276&lt;&gt;"",G276&lt;&gt;""),IF(G276&lt;=F276,"Sí","No"),"")</f>
        <v/>
      </c>
      <c r="T276" s="13" t="str">
        <f aca="false">IF(A276="","",IF(K276="Cliente no registrado","Cliente sin dar de alta",IF(F276="","Falta fecha prevista",IF(AND(J276="Entregado",G276=""),"Entregado sin fecha de entrega",IF(ISNA(MATCH(J276,Inicio!$Z$1:$Z$6,0)),"Estado no reconocido",IF(F276&lt;C276,"Prevista anterior al pedido",IF(AND(G276&lt;&gt;"",G276&lt;C276),"Entrega anterior al pedido","")))))))</f>
        <v/>
      </c>
      <c r="U276" s="13" t="str">
        <f aca="false">IF(L276&lt;&gt;"Sí","",IF(M276="Dato pendiente","Poner fecha prevista y avisar al cliente",IF(M276="En plazo","Seguimiento normal",IF(J276="Listo para recoger","Recordar la recogida al cliente",IF(J276="Esperando pieza","Pedir fecha al proveedor y avisar al cliente",IF(J276="En taller","Revisar con el taller","Confirmar el pedido con el proveedor"))))))</f>
        <v/>
      </c>
      <c r="V276" s="29" t="str">
        <f aca="false">IF(M276="Dato pendiente",1000+ROW()/10000,IF(M276="Fuera de plazo",N276+ROW()/10000,""))</f>
        <v/>
      </c>
      <c r="W276" s="30" t="str">
        <f aca="false">IF(T276="","",ROW())</f>
        <v/>
      </c>
    </row>
    <row r="277" customFormat="false" ht="15" hidden="false" customHeight="false" outlineLevel="0" collapsed="false">
      <c r="A277" s="13"/>
      <c r="B277" s="13"/>
      <c r="C277" s="28"/>
      <c r="D277" s="13"/>
      <c r="E277" s="13"/>
      <c r="F277" s="28"/>
      <c r="G277" s="28"/>
      <c r="H277" s="21"/>
      <c r="I277" s="21"/>
      <c r="J277" s="13"/>
      <c r="K277" s="13" t="str">
        <f aca="false">IF(A277="","",IFERROR(INDEX(Clientes!$B$2:$B$200,MATCH(B277,Clientes!$A$2:$A$200,0)),"Cliente no registrado"))</f>
        <v/>
      </c>
      <c r="L277" s="13" t="str">
        <f aca="false">IF(A277="","",IF(OR(J277="Entregado",J277="Anulado"),"No","Sí"))</f>
        <v/>
      </c>
      <c r="M277" s="13" t="str">
        <f aca="false">IF(A277="","",IF(J277="Entregado","Entregado",IF(J277="Anulado","Anulado",IF(F277="","Dato pendiente",IF(F277&lt;Control!$C$4,"Fuera de plazo","En plazo")))))</f>
        <v/>
      </c>
      <c r="N277" s="13" t="str">
        <f aca="false">IF(M277="Fuera de plazo",Control!$C$4-F277,"")</f>
        <v/>
      </c>
      <c r="O277" s="13" t="str">
        <f aca="false">IF(M277="Fuera de plazo",IF(J277="Listo para recoger","Cliente (no recoge)","Tienda o proveedor"),"")</f>
        <v/>
      </c>
      <c r="P277" s="13" t="str">
        <f aca="false">IF(A277="","",COUNTIF(Incidencias!$B$2:$B$151,A277))</f>
        <v/>
      </c>
      <c r="Q277" s="13" t="str">
        <f aca="false">IF(A277="","",COUNTIFS(Incidencias!$B$2:$B$151,A277,Incidencias!$F$2:$F$151,"Abierta"))</f>
        <v/>
      </c>
      <c r="R277" s="21" t="str">
        <f aca="false">IF(L277="Sí",H277-I277,IF(A277="","",0))</f>
        <v/>
      </c>
      <c r="S277" s="13" t="str">
        <f aca="false">IF(AND(J277="Entregado",F277&lt;&gt;"",G277&lt;&gt;""),IF(G277&lt;=F277,"Sí","No"),"")</f>
        <v/>
      </c>
      <c r="T277" s="13" t="str">
        <f aca="false">IF(A277="","",IF(K277="Cliente no registrado","Cliente sin dar de alta",IF(F277="","Falta fecha prevista",IF(AND(J277="Entregado",G277=""),"Entregado sin fecha de entrega",IF(ISNA(MATCH(J277,Inicio!$Z$1:$Z$6,0)),"Estado no reconocido",IF(F277&lt;C277,"Prevista anterior al pedido",IF(AND(G277&lt;&gt;"",G277&lt;C277),"Entrega anterior al pedido","")))))))</f>
        <v/>
      </c>
      <c r="U277" s="13" t="str">
        <f aca="false">IF(L277&lt;&gt;"Sí","",IF(M277="Dato pendiente","Poner fecha prevista y avisar al cliente",IF(M277="En plazo","Seguimiento normal",IF(J277="Listo para recoger","Recordar la recogida al cliente",IF(J277="Esperando pieza","Pedir fecha al proveedor y avisar al cliente",IF(J277="En taller","Revisar con el taller","Confirmar el pedido con el proveedor"))))))</f>
        <v/>
      </c>
      <c r="V277" s="29" t="str">
        <f aca="false">IF(M277="Dato pendiente",1000+ROW()/10000,IF(M277="Fuera de plazo",N277+ROW()/10000,""))</f>
        <v/>
      </c>
      <c r="W277" s="30" t="str">
        <f aca="false">IF(T277="","",ROW())</f>
        <v/>
      </c>
    </row>
    <row r="278" customFormat="false" ht="15" hidden="false" customHeight="false" outlineLevel="0" collapsed="false">
      <c r="A278" s="13"/>
      <c r="B278" s="13"/>
      <c r="C278" s="28"/>
      <c r="D278" s="13"/>
      <c r="E278" s="13"/>
      <c r="F278" s="28"/>
      <c r="G278" s="28"/>
      <c r="H278" s="21"/>
      <c r="I278" s="21"/>
      <c r="J278" s="13"/>
      <c r="K278" s="13" t="str">
        <f aca="false">IF(A278="","",IFERROR(INDEX(Clientes!$B$2:$B$200,MATCH(B278,Clientes!$A$2:$A$200,0)),"Cliente no registrado"))</f>
        <v/>
      </c>
      <c r="L278" s="13" t="str">
        <f aca="false">IF(A278="","",IF(OR(J278="Entregado",J278="Anulado"),"No","Sí"))</f>
        <v/>
      </c>
      <c r="M278" s="13" t="str">
        <f aca="false">IF(A278="","",IF(J278="Entregado","Entregado",IF(J278="Anulado","Anulado",IF(F278="","Dato pendiente",IF(F278&lt;Control!$C$4,"Fuera de plazo","En plazo")))))</f>
        <v/>
      </c>
      <c r="N278" s="13" t="str">
        <f aca="false">IF(M278="Fuera de plazo",Control!$C$4-F278,"")</f>
        <v/>
      </c>
      <c r="O278" s="13" t="str">
        <f aca="false">IF(M278="Fuera de plazo",IF(J278="Listo para recoger","Cliente (no recoge)","Tienda o proveedor"),"")</f>
        <v/>
      </c>
      <c r="P278" s="13" t="str">
        <f aca="false">IF(A278="","",COUNTIF(Incidencias!$B$2:$B$151,A278))</f>
        <v/>
      </c>
      <c r="Q278" s="13" t="str">
        <f aca="false">IF(A278="","",COUNTIFS(Incidencias!$B$2:$B$151,A278,Incidencias!$F$2:$F$151,"Abierta"))</f>
        <v/>
      </c>
      <c r="R278" s="21" t="str">
        <f aca="false">IF(L278="Sí",H278-I278,IF(A278="","",0))</f>
        <v/>
      </c>
      <c r="S278" s="13" t="str">
        <f aca="false">IF(AND(J278="Entregado",F278&lt;&gt;"",G278&lt;&gt;""),IF(G278&lt;=F278,"Sí","No"),"")</f>
        <v/>
      </c>
      <c r="T278" s="13" t="str">
        <f aca="false">IF(A278="","",IF(K278="Cliente no registrado","Cliente sin dar de alta",IF(F278="","Falta fecha prevista",IF(AND(J278="Entregado",G278=""),"Entregado sin fecha de entrega",IF(ISNA(MATCH(J278,Inicio!$Z$1:$Z$6,0)),"Estado no reconocido",IF(F278&lt;C278,"Prevista anterior al pedido",IF(AND(G278&lt;&gt;"",G278&lt;C278),"Entrega anterior al pedido","")))))))</f>
        <v/>
      </c>
      <c r="U278" s="13" t="str">
        <f aca="false">IF(L278&lt;&gt;"Sí","",IF(M278="Dato pendiente","Poner fecha prevista y avisar al cliente",IF(M278="En plazo","Seguimiento normal",IF(J278="Listo para recoger","Recordar la recogida al cliente",IF(J278="Esperando pieza","Pedir fecha al proveedor y avisar al cliente",IF(J278="En taller","Revisar con el taller","Confirmar el pedido con el proveedor"))))))</f>
        <v/>
      </c>
      <c r="V278" s="29" t="str">
        <f aca="false">IF(M278="Dato pendiente",1000+ROW()/10000,IF(M278="Fuera de plazo",N278+ROW()/10000,""))</f>
        <v/>
      </c>
      <c r="W278" s="30" t="str">
        <f aca="false">IF(T278="","",ROW())</f>
        <v/>
      </c>
    </row>
    <row r="279" customFormat="false" ht="15" hidden="false" customHeight="false" outlineLevel="0" collapsed="false">
      <c r="A279" s="13"/>
      <c r="B279" s="13"/>
      <c r="C279" s="28"/>
      <c r="D279" s="13"/>
      <c r="E279" s="13"/>
      <c r="F279" s="28"/>
      <c r="G279" s="28"/>
      <c r="H279" s="21"/>
      <c r="I279" s="21"/>
      <c r="J279" s="13"/>
      <c r="K279" s="13" t="str">
        <f aca="false">IF(A279="","",IFERROR(INDEX(Clientes!$B$2:$B$200,MATCH(B279,Clientes!$A$2:$A$200,0)),"Cliente no registrado"))</f>
        <v/>
      </c>
      <c r="L279" s="13" t="str">
        <f aca="false">IF(A279="","",IF(OR(J279="Entregado",J279="Anulado"),"No","Sí"))</f>
        <v/>
      </c>
      <c r="M279" s="13" t="str">
        <f aca="false">IF(A279="","",IF(J279="Entregado","Entregado",IF(J279="Anulado","Anulado",IF(F279="","Dato pendiente",IF(F279&lt;Control!$C$4,"Fuera de plazo","En plazo")))))</f>
        <v/>
      </c>
      <c r="N279" s="13" t="str">
        <f aca="false">IF(M279="Fuera de plazo",Control!$C$4-F279,"")</f>
        <v/>
      </c>
      <c r="O279" s="13" t="str">
        <f aca="false">IF(M279="Fuera de plazo",IF(J279="Listo para recoger","Cliente (no recoge)","Tienda o proveedor"),"")</f>
        <v/>
      </c>
      <c r="P279" s="13" t="str">
        <f aca="false">IF(A279="","",COUNTIF(Incidencias!$B$2:$B$151,A279))</f>
        <v/>
      </c>
      <c r="Q279" s="13" t="str">
        <f aca="false">IF(A279="","",COUNTIFS(Incidencias!$B$2:$B$151,A279,Incidencias!$F$2:$F$151,"Abierta"))</f>
        <v/>
      </c>
      <c r="R279" s="21" t="str">
        <f aca="false">IF(L279="Sí",H279-I279,IF(A279="","",0))</f>
        <v/>
      </c>
      <c r="S279" s="13" t="str">
        <f aca="false">IF(AND(J279="Entregado",F279&lt;&gt;"",G279&lt;&gt;""),IF(G279&lt;=F279,"Sí","No"),"")</f>
        <v/>
      </c>
      <c r="T279" s="13" t="str">
        <f aca="false">IF(A279="","",IF(K279="Cliente no registrado","Cliente sin dar de alta",IF(F279="","Falta fecha prevista",IF(AND(J279="Entregado",G279=""),"Entregado sin fecha de entrega",IF(ISNA(MATCH(J279,Inicio!$Z$1:$Z$6,0)),"Estado no reconocido",IF(F279&lt;C279,"Prevista anterior al pedido",IF(AND(G279&lt;&gt;"",G279&lt;C279),"Entrega anterior al pedido","")))))))</f>
        <v/>
      </c>
      <c r="U279" s="13" t="str">
        <f aca="false">IF(L279&lt;&gt;"Sí","",IF(M279="Dato pendiente","Poner fecha prevista y avisar al cliente",IF(M279="En plazo","Seguimiento normal",IF(J279="Listo para recoger","Recordar la recogida al cliente",IF(J279="Esperando pieza","Pedir fecha al proveedor y avisar al cliente",IF(J279="En taller","Revisar con el taller","Confirmar el pedido con el proveedor"))))))</f>
        <v/>
      </c>
      <c r="V279" s="29" t="str">
        <f aca="false">IF(M279="Dato pendiente",1000+ROW()/10000,IF(M279="Fuera de plazo",N279+ROW()/10000,""))</f>
        <v/>
      </c>
      <c r="W279" s="30" t="str">
        <f aca="false">IF(T279="","",ROW())</f>
        <v/>
      </c>
    </row>
    <row r="280" customFormat="false" ht="15" hidden="false" customHeight="false" outlineLevel="0" collapsed="false">
      <c r="A280" s="13"/>
      <c r="B280" s="13"/>
      <c r="C280" s="28"/>
      <c r="D280" s="13"/>
      <c r="E280" s="13"/>
      <c r="F280" s="28"/>
      <c r="G280" s="28"/>
      <c r="H280" s="21"/>
      <c r="I280" s="21"/>
      <c r="J280" s="13"/>
      <c r="K280" s="13" t="str">
        <f aca="false">IF(A280="","",IFERROR(INDEX(Clientes!$B$2:$B$200,MATCH(B280,Clientes!$A$2:$A$200,0)),"Cliente no registrado"))</f>
        <v/>
      </c>
      <c r="L280" s="13" t="str">
        <f aca="false">IF(A280="","",IF(OR(J280="Entregado",J280="Anulado"),"No","Sí"))</f>
        <v/>
      </c>
      <c r="M280" s="13" t="str">
        <f aca="false">IF(A280="","",IF(J280="Entregado","Entregado",IF(J280="Anulado","Anulado",IF(F280="","Dato pendiente",IF(F280&lt;Control!$C$4,"Fuera de plazo","En plazo")))))</f>
        <v/>
      </c>
      <c r="N280" s="13" t="str">
        <f aca="false">IF(M280="Fuera de plazo",Control!$C$4-F280,"")</f>
        <v/>
      </c>
      <c r="O280" s="13" t="str">
        <f aca="false">IF(M280="Fuera de plazo",IF(J280="Listo para recoger","Cliente (no recoge)","Tienda o proveedor"),"")</f>
        <v/>
      </c>
      <c r="P280" s="13" t="str">
        <f aca="false">IF(A280="","",COUNTIF(Incidencias!$B$2:$B$151,A280))</f>
        <v/>
      </c>
      <c r="Q280" s="13" t="str">
        <f aca="false">IF(A280="","",COUNTIFS(Incidencias!$B$2:$B$151,A280,Incidencias!$F$2:$F$151,"Abierta"))</f>
        <v/>
      </c>
      <c r="R280" s="21" t="str">
        <f aca="false">IF(L280="Sí",H280-I280,IF(A280="","",0))</f>
        <v/>
      </c>
      <c r="S280" s="13" t="str">
        <f aca="false">IF(AND(J280="Entregado",F280&lt;&gt;"",G280&lt;&gt;""),IF(G280&lt;=F280,"Sí","No"),"")</f>
        <v/>
      </c>
      <c r="T280" s="13" t="str">
        <f aca="false">IF(A280="","",IF(K280="Cliente no registrado","Cliente sin dar de alta",IF(F280="","Falta fecha prevista",IF(AND(J280="Entregado",G280=""),"Entregado sin fecha de entrega",IF(ISNA(MATCH(J280,Inicio!$Z$1:$Z$6,0)),"Estado no reconocido",IF(F280&lt;C280,"Prevista anterior al pedido",IF(AND(G280&lt;&gt;"",G280&lt;C280),"Entrega anterior al pedido","")))))))</f>
        <v/>
      </c>
      <c r="U280" s="13" t="str">
        <f aca="false">IF(L280&lt;&gt;"Sí","",IF(M280="Dato pendiente","Poner fecha prevista y avisar al cliente",IF(M280="En plazo","Seguimiento normal",IF(J280="Listo para recoger","Recordar la recogida al cliente",IF(J280="Esperando pieza","Pedir fecha al proveedor y avisar al cliente",IF(J280="En taller","Revisar con el taller","Confirmar el pedido con el proveedor"))))))</f>
        <v/>
      </c>
      <c r="V280" s="29" t="str">
        <f aca="false">IF(M280="Dato pendiente",1000+ROW()/10000,IF(M280="Fuera de plazo",N280+ROW()/10000,""))</f>
        <v/>
      </c>
      <c r="W280" s="30" t="str">
        <f aca="false">IF(T280="","",ROW())</f>
        <v/>
      </c>
    </row>
    <row r="281" customFormat="false" ht="15" hidden="false" customHeight="false" outlineLevel="0" collapsed="false">
      <c r="A281" s="13"/>
      <c r="B281" s="13"/>
      <c r="C281" s="28"/>
      <c r="D281" s="13"/>
      <c r="E281" s="13"/>
      <c r="F281" s="28"/>
      <c r="G281" s="28"/>
      <c r="H281" s="21"/>
      <c r="I281" s="21"/>
      <c r="J281" s="13"/>
      <c r="K281" s="13" t="str">
        <f aca="false">IF(A281="","",IFERROR(INDEX(Clientes!$B$2:$B$200,MATCH(B281,Clientes!$A$2:$A$200,0)),"Cliente no registrado"))</f>
        <v/>
      </c>
      <c r="L281" s="13" t="str">
        <f aca="false">IF(A281="","",IF(OR(J281="Entregado",J281="Anulado"),"No","Sí"))</f>
        <v/>
      </c>
      <c r="M281" s="13" t="str">
        <f aca="false">IF(A281="","",IF(J281="Entregado","Entregado",IF(J281="Anulado","Anulado",IF(F281="","Dato pendiente",IF(F281&lt;Control!$C$4,"Fuera de plazo","En plazo")))))</f>
        <v/>
      </c>
      <c r="N281" s="13" t="str">
        <f aca="false">IF(M281="Fuera de plazo",Control!$C$4-F281,"")</f>
        <v/>
      </c>
      <c r="O281" s="13" t="str">
        <f aca="false">IF(M281="Fuera de plazo",IF(J281="Listo para recoger","Cliente (no recoge)","Tienda o proveedor"),"")</f>
        <v/>
      </c>
      <c r="P281" s="13" t="str">
        <f aca="false">IF(A281="","",COUNTIF(Incidencias!$B$2:$B$151,A281))</f>
        <v/>
      </c>
      <c r="Q281" s="13" t="str">
        <f aca="false">IF(A281="","",COUNTIFS(Incidencias!$B$2:$B$151,A281,Incidencias!$F$2:$F$151,"Abierta"))</f>
        <v/>
      </c>
      <c r="R281" s="21" t="str">
        <f aca="false">IF(L281="Sí",H281-I281,IF(A281="","",0))</f>
        <v/>
      </c>
      <c r="S281" s="13" t="str">
        <f aca="false">IF(AND(J281="Entregado",F281&lt;&gt;"",G281&lt;&gt;""),IF(G281&lt;=F281,"Sí","No"),"")</f>
        <v/>
      </c>
      <c r="T281" s="13" t="str">
        <f aca="false">IF(A281="","",IF(K281="Cliente no registrado","Cliente sin dar de alta",IF(F281="","Falta fecha prevista",IF(AND(J281="Entregado",G281=""),"Entregado sin fecha de entrega",IF(ISNA(MATCH(J281,Inicio!$Z$1:$Z$6,0)),"Estado no reconocido",IF(F281&lt;C281,"Prevista anterior al pedido",IF(AND(G281&lt;&gt;"",G281&lt;C281),"Entrega anterior al pedido","")))))))</f>
        <v/>
      </c>
      <c r="U281" s="13" t="str">
        <f aca="false">IF(L281&lt;&gt;"Sí","",IF(M281="Dato pendiente","Poner fecha prevista y avisar al cliente",IF(M281="En plazo","Seguimiento normal",IF(J281="Listo para recoger","Recordar la recogida al cliente",IF(J281="Esperando pieza","Pedir fecha al proveedor y avisar al cliente",IF(J281="En taller","Revisar con el taller","Confirmar el pedido con el proveedor"))))))</f>
        <v/>
      </c>
      <c r="V281" s="29" t="str">
        <f aca="false">IF(M281="Dato pendiente",1000+ROW()/10000,IF(M281="Fuera de plazo",N281+ROW()/10000,""))</f>
        <v/>
      </c>
      <c r="W281" s="30" t="str">
        <f aca="false">IF(T281="","",ROW())</f>
        <v/>
      </c>
    </row>
    <row r="282" customFormat="false" ht="15" hidden="false" customHeight="false" outlineLevel="0" collapsed="false">
      <c r="A282" s="13"/>
      <c r="B282" s="13"/>
      <c r="C282" s="28"/>
      <c r="D282" s="13"/>
      <c r="E282" s="13"/>
      <c r="F282" s="28"/>
      <c r="G282" s="28"/>
      <c r="H282" s="21"/>
      <c r="I282" s="21"/>
      <c r="J282" s="13"/>
      <c r="K282" s="13" t="str">
        <f aca="false">IF(A282="","",IFERROR(INDEX(Clientes!$B$2:$B$200,MATCH(B282,Clientes!$A$2:$A$200,0)),"Cliente no registrado"))</f>
        <v/>
      </c>
      <c r="L282" s="13" t="str">
        <f aca="false">IF(A282="","",IF(OR(J282="Entregado",J282="Anulado"),"No","Sí"))</f>
        <v/>
      </c>
      <c r="M282" s="13" t="str">
        <f aca="false">IF(A282="","",IF(J282="Entregado","Entregado",IF(J282="Anulado","Anulado",IF(F282="","Dato pendiente",IF(F282&lt;Control!$C$4,"Fuera de plazo","En plazo")))))</f>
        <v/>
      </c>
      <c r="N282" s="13" t="str">
        <f aca="false">IF(M282="Fuera de plazo",Control!$C$4-F282,"")</f>
        <v/>
      </c>
      <c r="O282" s="13" t="str">
        <f aca="false">IF(M282="Fuera de plazo",IF(J282="Listo para recoger","Cliente (no recoge)","Tienda o proveedor"),"")</f>
        <v/>
      </c>
      <c r="P282" s="13" t="str">
        <f aca="false">IF(A282="","",COUNTIF(Incidencias!$B$2:$B$151,A282))</f>
        <v/>
      </c>
      <c r="Q282" s="13" t="str">
        <f aca="false">IF(A282="","",COUNTIFS(Incidencias!$B$2:$B$151,A282,Incidencias!$F$2:$F$151,"Abierta"))</f>
        <v/>
      </c>
      <c r="R282" s="21" t="str">
        <f aca="false">IF(L282="Sí",H282-I282,IF(A282="","",0))</f>
        <v/>
      </c>
      <c r="S282" s="13" t="str">
        <f aca="false">IF(AND(J282="Entregado",F282&lt;&gt;"",G282&lt;&gt;""),IF(G282&lt;=F282,"Sí","No"),"")</f>
        <v/>
      </c>
      <c r="T282" s="13" t="str">
        <f aca="false">IF(A282="","",IF(K282="Cliente no registrado","Cliente sin dar de alta",IF(F282="","Falta fecha prevista",IF(AND(J282="Entregado",G282=""),"Entregado sin fecha de entrega",IF(ISNA(MATCH(J282,Inicio!$Z$1:$Z$6,0)),"Estado no reconocido",IF(F282&lt;C282,"Prevista anterior al pedido",IF(AND(G282&lt;&gt;"",G282&lt;C282),"Entrega anterior al pedido","")))))))</f>
        <v/>
      </c>
      <c r="U282" s="13" t="str">
        <f aca="false">IF(L282&lt;&gt;"Sí","",IF(M282="Dato pendiente","Poner fecha prevista y avisar al cliente",IF(M282="En plazo","Seguimiento normal",IF(J282="Listo para recoger","Recordar la recogida al cliente",IF(J282="Esperando pieza","Pedir fecha al proveedor y avisar al cliente",IF(J282="En taller","Revisar con el taller","Confirmar el pedido con el proveedor"))))))</f>
        <v/>
      </c>
      <c r="V282" s="29" t="str">
        <f aca="false">IF(M282="Dato pendiente",1000+ROW()/10000,IF(M282="Fuera de plazo",N282+ROW()/10000,""))</f>
        <v/>
      </c>
      <c r="W282" s="30" t="str">
        <f aca="false">IF(T282="","",ROW())</f>
        <v/>
      </c>
    </row>
    <row r="283" customFormat="false" ht="15" hidden="false" customHeight="false" outlineLevel="0" collapsed="false">
      <c r="A283" s="13"/>
      <c r="B283" s="13"/>
      <c r="C283" s="28"/>
      <c r="D283" s="13"/>
      <c r="E283" s="13"/>
      <c r="F283" s="28"/>
      <c r="G283" s="28"/>
      <c r="H283" s="21"/>
      <c r="I283" s="21"/>
      <c r="J283" s="13"/>
      <c r="K283" s="13" t="str">
        <f aca="false">IF(A283="","",IFERROR(INDEX(Clientes!$B$2:$B$200,MATCH(B283,Clientes!$A$2:$A$200,0)),"Cliente no registrado"))</f>
        <v/>
      </c>
      <c r="L283" s="13" t="str">
        <f aca="false">IF(A283="","",IF(OR(J283="Entregado",J283="Anulado"),"No","Sí"))</f>
        <v/>
      </c>
      <c r="M283" s="13" t="str">
        <f aca="false">IF(A283="","",IF(J283="Entregado","Entregado",IF(J283="Anulado","Anulado",IF(F283="","Dato pendiente",IF(F283&lt;Control!$C$4,"Fuera de plazo","En plazo")))))</f>
        <v/>
      </c>
      <c r="N283" s="13" t="str">
        <f aca="false">IF(M283="Fuera de plazo",Control!$C$4-F283,"")</f>
        <v/>
      </c>
      <c r="O283" s="13" t="str">
        <f aca="false">IF(M283="Fuera de plazo",IF(J283="Listo para recoger","Cliente (no recoge)","Tienda o proveedor"),"")</f>
        <v/>
      </c>
      <c r="P283" s="13" t="str">
        <f aca="false">IF(A283="","",COUNTIF(Incidencias!$B$2:$B$151,A283))</f>
        <v/>
      </c>
      <c r="Q283" s="13" t="str">
        <f aca="false">IF(A283="","",COUNTIFS(Incidencias!$B$2:$B$151,A283,Incidencias!$F$2:$F$151,"Abierta"))</f>
        <v/>
      </c>
      <c r="R283" s="21" t="str">
        <f aca="false">IF(L283="Sí",H283-I283,IF(A283="","",0))</f>
        <v/>
      </c>
      <c r="S283" s="13" t="str">
        <f aca="false">IF(AND(J283="Entregado",F283&lt;&gt;"",G283&lt;&gt;""),IF(G283&lt;=F283,"Sí","No"),"")</f>
        <v/>
      </c>
      <c r="T283" s="13" t="str">
        <f aca="false">IF(A283="","",IF(K283="Cliente no registrado","Cliente sin dar de alta",IF(F283="","Falta fecha prevista",IF(AND(J283="Entregado",G283=""),"Entregado sin fecha de entrega",IF(ISNA(MATCH(J283,Inicio!$Z$1:$Z$6,0)),"Estado no reconocido",IF(F283&lt;C283,"Prevista anterior al pedido",IF(AND(G283&lt;&gt;"",G283&lt;C283),"Entrega anterior al pedido","")))))))</f>
        <v/>
      </c>
      <c r="U283" s="13" t="str">
        <f aca="false">IF(L283&lt;&gt;"Sí","",IF(M283="Dato pendiente","Poner fecha prevista y avisar al cliente",IF(M283="En plazo","Seguimiento normal",IF(J283="Listo para recoger","Recordar la recogida al cliente",IF(J283="Esperando pieza","Pedir fecha al proveedor y avisar al cliente",IF(J283="En taller","Revisar con el taller","Confirmar el pedido con el proveedor"))))))</f>
        <v/>
      </c>
      <c r="V283" s="29" t="str">
        <f aca="false">IF(M283="Dato pendiente",1000+ROW()/10000,IF(M283="Fuera de plazo",N283+ROW()/10000,""))</f>
        <v/>
      </c>
      <c r="W283" s="30" t="str">
        <f aca="false">IF(T283="","",ROW())</f>
        <v/>
      </c>
    </row>
    <row r="284" customFormat="false" ht="15" hidden="false" customHeight="false" outlineLevel="0" collapsed="false">
      <c r="A284" s="13"/>
      <c r="B284" s="13"/>
      <c r="C284" s="28"/>
      <c r="D284" s="13"/>
      <c r="E284" s="13"/>
      <c r="F284" s="28"/>
      <c r="G284" s="28"/>
      <c r="H284" s="21"/>
      <c r="I284" s="21"/>
      <c r="J284" s="13"/>
      <c r="K284" s="13" t="str">
        <f aca="false">IF(A284="","",IFERROR(INDEX(Clientes!$B$2:$B$200,MATCH(B284,Clientes!$A$2:$A$200,0)),"Cliente no registrado"))</f>
        <v/>
      </c>
      <c r="L284" s="13" t="str">
        <f aca="false">IF(A284="","",IF(OR(J284="Entregado",J284="Anulado"),"No","Sí"))</f>
        <v/>
      </c>
      <c r="M284" s="13" t="str">
        <f aca="false">IF(A284="","",IF(J284="Entregado","Entregado",IF(J284="Anulado","Anulado",IF(F284="","Dato pendiente",IF(F284&lt;Control!$C$4,"Fuera de plazo","En plazo")))))</f>
        <v/>
      </c>
      <c r="N284" s="13" t="str">
        <f aca="false">IF(M284="Fuera de plazo",Control!$C$4-F284,"")</f>
        <v/>
      </c>
      <c r="O284" s="13" t="str">
        <f aca="false">IF(M284="Fuera de plazo",IF(J284="Listo para recoger","Cliente (no recoge)","Tienda o proveedor"),"")</f>
        <v/>
      </c>
      <c r="P284" s="13" t="str">
        <f aca="false">IF(A284="","",COUNTIF(Incidencias!$B$2:$B$151,A284))</f>
        <v/>
      </c>
      <c r="Q284" s="13" t="str">
        <f aca="false">IF(A284="","",COUNTIFS(Incidencias!$B$2:$B$151,A284,Incidencias!$F$2:$F$151,"Abierta"))</f>
        <v/>
      </c>
      <c r="R284" s="21" t="str">
        <f aca="false">IF(L284="Sí",H284-I284,IF(A284="","",0))</f>
        <v/>
      </c>
      <c r="S284" s="13" t="str">
        <f aca="false">IF(AND(J284="Entregado",F284&lt;&gt;"",G284&lt;&gt;""),IF(G284&lt;=F284,"Sí","No"),"")</f>
        <v/>
      </c>
      <c r="T284" s="13" t="str">
        <f aca="false">IF(A284="","",IF(K284="Cliente no registrado","Cliente sin dar de alta",IF(F284="","Falta fecha prevista",IF(AND(J284="Entregado",G284=""),"Entregado sin fecha de entrega",IF(ISNA(MATCH(J284,Inicio!$Z$1:$Z$6,0)),"Estado no reconocido",IF(F284&lt;C284,"Prevista anterior al pedido",IF(AND(G284&lt;&gt;"",G284&lt;C284),"Entrega anterior al pedido","")))))))</f>
        <v/>
      </c>
      <c r="U284" s="13" t="str">
        <f aca="false">IF(L284&lt;&gt;"Sí","",IF(M284="Dato pendiente","Poner fecha prevista y avisar al cliente",IF(M284="En plazo","Seguimiento normal",IF(J284="Listo para recoger","Recordar la recogida al cliente",IF(J284="Esperando pieza","Pedir fecha al proveedor y avisar al cliente",IF(J284="En taller","Revisar con el taller","Confirmar el pedido con el proveedor"))))))</f>
        <v/>
      </c>
      <c r="V284" s="29" t="str">
        <f aca="false">IF(M284="Dato pendiente",1000+ROW()/10000,IF(M284="Fuera de plazo",N284+ROW()/10000,""))</f>
        <v/>
      </c>
      <c r="W284" s="30" t="str">
        <f aca="false">IF(T284="","",ROW())</f>
        <v/>
      </c>
    </row>
    <row r="285" customFormat="false" ht="15" hidden="false" customHeight="false" outlineLevel="0" collapsed="false">
      <c r="A285" s="13"/>
      <c r="B285" s="13"/>
      <c r="C285" s="28"/>
      <c r="D285" s="13"/>
      <c r="E285" s="13"/>
      <c r="F285" s="28"/>
      <c r="G285" s="28"/>
      <c r="H285" s="21"/>
      <c r="I285" s="21"/>
      <c r="J285" s="13"/>
      <c r="K285" s="13" t="str">
        <f aca="false">IF(A285="","",IFERROR(INDEX(Clientes!$B$2:$B$200,MATCH(B285,Clientes!$A$2:$A$200,0)),"Cliente no registrado"))</f>
        <v/>
      </c>
      <c r="L285" s="13" t="str">
        <f aca="false">IF(A285="","",IF(OR(J285="Entregado",J285="Anulado"),"No","Sí"))</f>
        <v/>
      </c>
      <c r="M285" s="13" t="str">
        <f aca="false">IF(A285="","",IF(J285="Entregado","Entregado",IF(J285="Anulado","Anulado",IF(F285="","Dato pendiente",IF(F285&lt;Control!$C$4,"Fuera de plazo","En plazo")))))</f>
        <v/>
      </c>
      <c r="N285" s="13" t="str">
        <f aca="false">IF(M285="Fuera de plazo",Control!$C$4-F285,"")</f>
        <v/>
      </c>
      <c r="O285" s="13" t="str">
        <f aca="false">IF(M285="Fuera de plazo",IF(J285="Listo para recoger","Cliente (no recoge)","Tienda o proveedor"),"")</f>
        <v/>
      </c>
      <c r="P285" s="13" t="str">
        <f aca="false">IF(A285="","",COUNTIF(Incidencias!$B$2:$B$151,A285))</f>
        <v/>
      </c>
      <c r="Q285" s="13" t="str">
        <f aca="false">IF(A285="","",COUNTIFS(Incidencias!$B$2:$B$151,A285,Incidencias!$F$2:$F$151,"Abierta"))</f>
        <v/>
      </c>
      <c r="R285" s="21" t="str">
        <f aca="false">IF(L285="Sí",H285-I285,IF(A285="","",0))</f>
        <v/>
      </c>
      <c r="S285" s="13" t="str">
        <f aca="false">IF(AND(J285="Entregado",F285&lt;&gt;"",G285&lt;&gt;""),IF(G285&lt;=F285,"Sí","No"),"")</f>
        <v/>
      </c>
      <c r="T285" s="13" t="str">
        <f aca="false">IF(A285="","",IF(K285="Cliente no registrado","Cliente sin dar de alta",IF(F285="","Falta fecha prevista",IF(AND(J285="Entregado",G285=""),"Entregado sin fecha de entrega",IF(ISNA(MATCH(J285,Inicio!$Z$1:$Z$6,0)),"Estado no reconocido",IF(F285&lt;C285,"Prevista anterior al pedido",IF(AND(G285&lt;&gt;"",G285&lt;C285),"Entrega anterior al pedido","")))))))</f>
        <v/>
      </c>
      <c r="U285" s="13" t="str">
        <f aca="false">IF(L285&lt;&gt;"Sí","",IF(M285="Dato pendiente","Poner fecha prevista y avisar al cliente",IF(M285="En plazo","Seguimiento normal",IF(J285="Listo para recoger","Recordar la recogida al cliente",IF(J285="Esperando pieza","Pedir fecha al proveedor y avisar al cliente",IF(J285="En taller","Revisar con el taller","Confirmar el pedido con el proveedor"))))))</f>
        <v/>
      </c>
      <c r="V285" s="29" t="str">
        <f aca="false">IF(M285="Dato pendiente",1000+ROW()/10000,IF(M285="Fuera de plazo",N285+ROW()/10000,""))</f>
        <v/>
      </c>
      <c r="W285" s="30" t="str">
        <f aca="false">IF(T285="","",ROW())</f>
        <v/>
      </c>
    </row>
    <row r="286" customFormat="false" ht="15" hidden="false" customHeight="false" outlineLevel="0" collapsed="false">
      <c r="A286" s="13"/>
      <c r="B286" s="13"/>
      <c r="C286" s="28"/>
      <c r="D286" s="13"/>
      <c r="E286" s="13"/>
      <c r="F286" s="28"/>
      <c r="G286" s="28"/>
      <c r="H286" s="21"/>
      <c r="I286" s="21"/>
      <c r="J286" s="13"/>
      <c r="K286" s="13" t="str">
        <f aca="false">IF(A286="","",IFERROR(INDEX(Clientes!$B$2:$B$200,MATCH(B286,Clientes!$A$2:$A$200,0)),"Cliente no registrado"))</f>
        <v/>
      </c>
      <c r="L286" s="13" t="str">
        <f aca="false">IF(A286="","",IF(OR(J286="Entregado",J286="Anulado"),"No","Sí"))</f>
        <v/>
      </c>
      <c r="M286" s="13" t="str">
        <f aca="false">IF(A286="","",IF(J286="Entregado","Entregado",IF(J286="Anulado","Anulado",IF(F286="","Dato pendiente",IF(F286&lt;Control!$C$4,"Fuera de plazo","En plazo")))))</f>
        <v/>
      </c>
      <c r="N286" s="13" t="str">
        <f aca="false">IF(M286="Fuera de plazo",Control!$C$4-F286,"")</f>
        <v/>
      </c>
      <c r="O286" s="13" t="str">
        <f aca="false">IF(M286="Fuera de plazo",IF(J286="Listo para recoger","Cliente (no recoge)","Tienda o proveedor"),"")</f>
        <v/>
      </c>
      <c r="P286" s="13" t="str">
        <f aca="false">IF(A286="","",COUNTIF(Incidencias!$B$2:$B$151,A286))</f>
        <v/>
      </c>
      <c r="Q286" s="13" t="str">
        <f aca="false">IF(A286="","",COUNTIFS(Incidencias!$B$2:$B$151,A286,Incidencias!$F$2:$F$151,"Abierta"))</f>
        <v/>
      </c>
      <c r="R286" s="21" t="str">
        <f aca="false">IF(L286="Sí",H286-I286,IF(A286="","",0))</f>
        <v/>
      </c>
      <c r="S286" s="13" t="str">
        <f aca="false">IF(AND(J286="Entregado",F286&lt;&gt;"",G286&lt;&gt;""),IF(G286&lt;=F286,"Sí","No"),"")</f>
        <v/>
      </c>
      <c r="T286" s="13" t="str">
        <f aca="false">IF(A286="","",IF(K286="Cliente no registrado","Cliente sin dar de alta",IF(F286="","Falta fecha prevista",IF(AND(J286="Entregado",G286=""),"Entregado sin fecha de entrega",IF(ISNA(MATCH(J286,Inicio!$Z$1:$Z$6,0)),"Estado no reconocido",IF(F286&lt;C286,"Prevista anterior al pedido",IF(AND(G286&lt;&gt;"",G286&lt;C286),"Entrega anterior al pedido","")))))))</f>
        <v/>
      </c>
      <c r="U286" s="13" t="str">
        <f aca="false">IF(L286&lt;&gt;"Sí","",IF(M286="Dato pendiente","Poner fecha prevista y avisar al cliente",IF(M286="En plazo","Seguimiento normal",IF(J286="Listo para recoger","Recordar la recogida al cliente",IF(J286="Esperando pieza","Pedir fecha al proveedor y avisar al cliente",IF(J286="En taller","Revisar con el taller","Confirmar el pedido con el proveedor"))))))</f>
        <v/>
      </c>
      <c r="V286" s="29" t="str">
        <f aca="false">IF(M286="Dato pendiente",1000+ROW()/10000,IF(M286="Fuera de plazo",N286+ROW()/10000,""))</f>
        <v/>
      </c>
      <c r="W286" s="30" t="str">
        <f aca="false">IF(T286="","",ROW())</f>
        <v/>
      </c>
    </row>
    <row r="287" customFormat="false" ht="15" hidden="false" customHeight="false" outlineLevel="0" collapsed="false">
      <c r="A287" s="13"/>
      <c r="B287" s="13"/>
      <c r="C287" s="28"/>
      <c r="D287" s="13"/>
      <c r="E287" s="13"/>
      <c r="F287" s="28"/>
      <c r="G287" s="28"/>
      <c r="H287" s="21"/>
      <c r="I287" s="21"/>
      <c r="J287" s="13"/>
      <c r="K287" s="13" t="str">
        <f aca="false">IF(A287="","",IFERROR(INDEX(Clientes!$B$2:$B$200,MATCH(B287,Clientes!$A$2:$A$200,0)),"Cliente no registrado"))</f>
        <v/>
      </c>
      <c r="L287" s="13" t="str">
        <f aca="false">IF(A287="","",IF(OR(J287="Entregado",J287="Anulado"),"No","Sí"))</f>
        <v/>
      </c>
      <c r="M287" s="13" t="str">
        <f aca="false">IF(A287="","",IF(J287="Entregado","Entregado",IF(J287="Anulado","Anulado",IF(F287="","Dato pendiente",IF(F287&lt;Control!$C$4,"Fuera de plazo","En plazo")))))</f>
        <v/>
      </c>
      <c r="N287" s="13" t="str">
        <f aca="false">IF(M287="Fuera de plazo",Control!$C$4-F287,"")</f>
        <v/>
      </c>
      <c r="O287" s="13" t="str">
        <f aca="false">IF(M287="Fuera de plazo",IF(J287="Listo para recoger","Cliente (no recoge)","Tienda o proveedor"),"")</f>
        <v/>
      </c>
      <c r="P287" s="13" t="str">
        <f aca="false">IF(A287="","",COUNTIF(Incidencias!$B$2:$B$151,A287))</f>
        <v/>
      </c>
      <c r="Q287" s="13" t="str">
        <f aca="false">IF(A287="","",COUNTIFS(Incidencias!$B$2:$B$151,A287,Incidencias!$F$2:$F$151,"Abierta"))</f>
        <v/>
      </c>
      <c r="R287" s="21" t="str">
        <f aca="false">IF(L287="Sí",H287-I287,IF(A287="","",0))</f>
        <v/>
      </c>
      <c r="S287" s="13" t="str">
        <f aca="false">IF(AND(J287="Entregado",F287&lt;&gt;"",G287&lt;&gt;""),IF(G287&lt;=F287,"Sí","No"),"")</f>
        <v/>
      </c>
      <c r="T287" s="13" t="str">
        <f aca="false">IF(A287="","",IF(K287="Cliente no registrado","Cliente sin dar de alta",IF(F287="","Falta fecha prevista",IF(AND(J287="Entregado",G287=""),"Entregado sin fecha de entrega",IF(ISNA(MATCH(J287,Inicio!$Z$1:$Z$6,0)),"Estado no reconocido",IF(F287&lt;C287,"Prevista anterior al pedido",IF(AND(G287&lt;&gt;"",G287&lt;C287),"Entrega anterior al pedido","")))))))</f>
        <v/>
      </c>
      <c r="U287" s="13" t="str">
        <f aca="false">IF(L287&lt;&gt;"Sí","",IF(M287="Dato pendiente","Poner fecha prevista y avisar al cliente",IF(M287="En plazo","Seguimiento normal",IF(J287="Listo para recoger","Recordar la recogida al cliente",IF(J287="Esperando pieza","Pedir fecha al proveedor y avisar al cliente",IF(J287="En taller","Revisar con el taller","Confirmar el pedido con el proveedor"))))))</f>
        <v/>
      </c>
      <c r="V287" s="29" t="str">
        <f aca="false">IF(M287="Dato pendiente",1000+ROW()/10000,IF(M287="Fuera de plazo",N287+ROW()/10000,""))</f>
        <v/>
      </c>
      <c r="W287" s="30" t="str">
        <f aca="false">IF(T287="","",ROW())</f>
        <v/>
      </c>
    </row>
    <row r="288" customFormat="false" ht="15" hidden="false" customHeight="false" outlineLevel="0" collapsed="false">
      <c r="A288" s="13"/>
      <c r="B288" s="13"/>
      <c r="C288" s="28"/>
      <c r="D288" s="13"/>
      <c r="E288" s="13"/>
      <c r="F288" s="28"/>
      <c r="G288" s="28"/>
      <c r="H288" s="21"/>
      <c r="I288" s="21"/>
      <c r="J288" s="13"/>
      <c r="K288" s="13" t="str">
        <f aca="false">IF(A288="","",IFERROR(INDEX(Clientes!$B$2:$B$200,MATCH(B288,Clientes!$A$2:$A$200,0)),"Cliente no registrado"))</f>
        <v/>
      </c>
      <c r="L288" s="13" t="str">
        <f aca="false">IF(A288="","",IF(OR(J288="Entregado",J288="Anulado"),"No","Sí"))</f>
        <v/>
      </c>
      <c r="M288" s="13" t="str">
        <f aca="false">IF(A288="","",IF(J288="Entregado","Entregado",IF(J288="Anulado","Anulado",IF(F288="","Dato pendiente",IF(F288&lt;Control!$C$4,"Fuera de plazo","En plazo")))))</f>
        <v/>
      </c>
      <c r="N288" s="13" t="str">
        <f aca="false">IF(M288="Fuera de plazo",Control!$C$4-F288,"")</f>
        <v/>
      </c>
      <c r="O288" s="13" t="str">
        <f aca="false">IF(M288="Fuera de plazo",IF(J288="Listo para recoger","Cliente (no recoge)","Tienda o proveedor"),"")</f>
        <v/>
      </c>
      <c r="P288" s="13" t="str">
        <f aca="false">IF(A288="","",COUNTIF(Incidencias!$B$2:$B$151,A288))</f>
        <v/>
      </c>
      <c r="Q288" s="13" t="str">
        <f aca="false">IF(A288="","",COUNTIFS(Incidencias!$B$2:$B$151,A288,Incidencias!$F$2:$F$151,"Abierta"))</f>
        <v/>
      </c>
      <c r="R288" s="21" t="str">
        <f aca="false">IF(L288="Sí",H288-I288,IF(A288="","",0))</f>
        <v/>
      </c>
      <c r="S288" s="13" t="str">
        <f aca="false">IF(AND(J288="Entregado",F288&lt;&gt;"",G288&lt;&gt;""),IF(G288&lt;=F288,"Sí","No"),"")</f>
        <v/>
      </c>
      <c r="T288" s="13" t="str">
        <f aca="false">IF(A288="","",IF(K288="Cliente no registrado","Cliente sin dar de alta",IF(F288="","Falta fecha prevista",IF(AND(J288="Entregado",G288=""),"Entregado sin fecha de entrega",IF(ISNA(MATCH(J288,Inicio!$Z$1:$Z$6,0)),"Estado no reconocido",IF(F288&lt;C288,"Prevista anterior al pedido",IF(AND(G288&lt;&gt;"",G288&lt;C288),"Entrega anterior al pedido","")))))))</f>
        <v/>
      </c>
      <c r="U288" s="13" t="str">
        <f aca="false">IF(L288&lt;&gt;"Sí","",IF(M288="Dato pendiente","Poner fecha prevista y avisar al cliente",IF(M288="En plazo","Seguimiento normal",IF(J288="Listo para recoger","Recordar la recogida al cliente",IF(J288="Esperando pieza","Pedir fecha al proveedor y avisar al cliente",IF(J288="En taller","Revisar con el taller","Confirmar el pedido con el proveedor"))))))</f>
        <v/>
      </c>
      <c r="V288" s="29" t="str">
        <f aca="false">IF(M288="Dato pendiente",1000+ROW()/10000,IF(M288="Fuera de plazo",N288+ROW()/10000,""))</f>
        <v/>
      </c>
      <c r="W288" s="30" t="str">
        <f aca="false">IF(T288="","",ROW())</f>
        <v/>
      </c>
    </row>
    <row r="289" customFormat="false" ht="15" hidden="false" customHeight="false" outlineLevel="0" collapsed="false">
      <c r="A289" s="13"/>
      <c r="B289" s="13"/>
      <c r="C289" s="28"/>
      <c r="D289" s="13"/>
      <c r="E289" s="13"/>
      <c r="F289" s="28"/>
      <c r="G289" s="28"/>
      <c r="H289" s="21"/>
      <c r="I289" s="21"/>
      <c r="J289" s="13"/>
      <c r="K289" s="13" t="str">
        <f aca="false">IF(A289="","",IFERROR(INDEX(Clientes!$B$2:$B$200,MATCH(B289,Clientes!$A$2:$A$200,0)),"Cliente no registrado"))</f>
        <v/>
      </c>
      <c r="L289" s="13" t="str">
        <f aca="false">IF(A289="","",IF(OR(J289="Entregado",J289="Anulado"),"No","Sí"))</f>
        <v/>
      </c>
      <c r="M289" s="13" t="str">
        <f aca="false">IF(A289="","",IF(J289="Entregado","Entregado",IF(J289="Anulado","Anulado",IF(F289="","Dato pendiente",IF(F289&lt;Control!$C$4,"Fuera de plazo","En plazo")))))</f>
        <v/>
      </c>
      <c r="N289" s="13" t="str">
        <f aca="false">IF(M289="Fuera de plazo",Control!$C$4-F289,"")</f>
        <v/>
      </c>
      <c r="O289" s="13" t="str">
        <f aca="false">IF(M289="Fuera de plazo",IF(J289="Listo para recoger","Cliente (no recoge)","Tienda o proveedor"),"")</f>
        <v/>
      </c>
      <c r="P289" s="13" t="str">
        <f aca="false">IF(A289="","",COUNTIF(Incidencias!$B$2:$B$151,A289))</f>
        <v/>
      </c>
      <c r="Q289" s="13" t="str">
        <f aca="false">IF(A289="","",COUNTIFS(Incidencias!$B$2:$B$151,A289,Incidencias!$F$2:$F$151,"Abierta"))</f>
        <v/>
      </c>
      <c r="R289" s="21" t="str">
        <f aca="false">IF(L289="Sí",H289-I289,IF(A289="","",0))</f>
        <v/>
      </c>
      <c r="S289" s="13" t="str">
        <f aca="false">IF(AND(J289="Entregado",F289&lt;&gt;"",G289&lt;&gt;""),IF(G289&lt;=F289,"Sí","No"),"")</f>
        <v/>
      </c>
      <c r="T289" s="13" t="str">
        <f aca="false">IF(A289="","",IF(K289="Cliente no registrado","Cliente sin dar de alta",IF(F289="","Falta fecha prevista",IF(AND(J289="Entregado",G289=""),"Entregado sin fecha de entrega",IF(ISNA(MATCH(J289,Inicio!$Z$1:$Z$6,0)),"Estado no reconocido",IF(F289&lt;C289,"Prevista anterior al pedido",IF(AND(G289&lt;&gt;"",G289&lt;C289),"Entrega anterior al pedido","")))))))</f>
        <v/>
      </c>
      <c r="U289" s="13" t="str">
        <f aca="false">IF(L289&lt;&gt;"Sí","",IF(M289="Dato pendiente","Poner fecha prevista y avisar al cliente",IF(M289="En plazo","Seguimiento normal",IF(J289="Listo para recoger","Recordar la recogida al cliente",IF(J289="Esperando pieza","Pedir fecha al proveedor y avisar al cliente",IF(J289="En taller","Revisar con el taller","Confirmar el pedido con el proveedor"))))))</f>
        <v/>
      </c>
      <c r="V289" s="29" t="str">
        <f aca="false">IF(M289="Dato pendiente",1000+ROW()/10000,IF(M289="Fuera de plazo",N289+ROW()/10000,""))</f>
        <v/>
      </c>
      <c r="W289" s="30" t="str">
        <f aca="false">IF(T289="","",ROW())</f>
        <v/>
      </c>
    </row>
    <row r="290" customFormat="false" ht="15" hidden="false" customHeight="false" outlineLevel="0" collapsed="false">
      <c r="A290" s="13"/>
      <c r="B290" s="13"/>
      <c r="C290" s="28"/>
      <c r="D290" s="13"/>
      <c r="E290" s="13"/>
      <c r="F290" s="28"/>
      <c r="G290" s="28"/>
      <c r="H290" s="21"/>
      <c r="I290" s="21"/>
      <c r="J290" s="13"/>
      <c r="K290" s="13" t="str">
        <f aca="false">IF(A290="","",IFERROR(INDEX(Clientes!$B$2:$B$200,MATCH(B290,Clientes!$A$2:$A$200,0)),"Cliente no registrado"))</f>
        <v/>
      </c>
      <c r="L290" s="13" t="str">
        <f aca="false">IF(A290="","",IF(OR(J290="Entregado",J290="Anulado"),"No","Sí"))</f>
        <v/>
      </c>
      <c r="M290" s="13" t="str">
        <f aca="false">IF(A290="","",IF(J290="Entregado","Entregado",IF(J290="Anulado","Anulado",IF(F290="","Dato pendiente",IF(F290&lt;Control!$C$4,"Fuera de plazo","En plazo")))))</f>
        <v/>
      </c>
      <c r="N290" s="13" t="str">
        <f aca="false">IF(M290="Fuera de plazo",Control!$C$4-F290,"")</f>
        <v/>
      </c>
      <c r="O290" s="13" t="str">
        <f aca="false">IF(M290="Fuera de plazo",IF(J290="Listo para recoger","Cliente (no recoge)","Tienda o proveedor"),"")</f>
        <v/>
      </c>
      <c r="P290" s="13" t="str">
        <f aca="false">IF(A290="","",COUNTIF(Incidencias!$B$2:$B$151,A290))</f>
        <v/>
      </c>
      <c r="Q290" s="13" t="str">
        <f aca="false">IF(A290="","",COUNTIFS(Incidencias!$B$2:$B$151,A290,Incidencias!$F$2:$F$151,"Abierta"))</f>
        <v/>
      </c>
      <c r="R290" s="21" t="str">
        <f aca="false">IF(L290="Sí",H290-I290,IF(A290="","",0))</f>
        <v/>
      </c>
      <c r="S290" s="13" t="str">
        <f aca="false">IF(AND(J290="Entregado",F290&lt;&gt;"",G290&lt;&gt;""),IF(G290&lt;=F290,"Sí","No"),"")</f>
        <v/>
      </c>
      <c r="T290" s="13" t="str">
        <f aca="false">IF(A290="","",IF(K290="Cliente no registrado","Cliente sin dar de alta",IF(F290="","Falta fecha prevista",IF(AND(J290="Entregado",G290=""),"Entregado sin fecha de entrega",IF(ISNA(MATCH(J290,Inicio!$Z$1:$Z$6,0)),"Estado no reconocido",IF(F290&lt;C290,"Prevista anterior al pedido",IF(AND(G290&lt;&gt;"",G290&lt;C290),"Entrega anterior al pedido","")))))))</f>
        <v/>
      </c>
      <c r="U290" s="13" t="str">
        <f aca="false">IF(L290&lt;&gt;"Sí","",IF(M290="Dato pendiente","Poner fecha prevista y avisar al cliente",IF(M290="En plazo","Seguimiento normal",IF(J290="Listo para recoger","Recordar la recogida al cliente",IF(J290="Esperando pieza","Pedir fecha al proveedor y avisar al cliente",IF(J290="En taller","Revisar con el taller","Confirmar el pedido con el proveedor"))))))</f>
        <v/>
      </c>
      <c r="V290" s="29" t="str">
        <f aca="false">IF(M290="Dato pendiente",1000+ROW()/10000,IF(M290="Fuera de plazo",N290+ROW()/10000,""))</f>
        <v/>
      </c>
      <c r="W290" s="30" t="str">
        <f aca="false">IF(T290="","",ROW())</f>
        <v/>
      </c>
    </row>
    <row r="291" customFormat="false" ht="15" hidden="false" customHeight="false" outlineLevel="0" collapsed="false">
      <c r="A291" s="13"/>
      <c r="B291" s="13"/>
      <c r="C291" s="28"/>
      <c r="D291" s="13"/>
      <c r="E291" s="13"/>
      <c r="F291" s="28"/>
      <c r="G291" s="28"/>
      <c r="H291" s="21"/>
      <c r="I291" s="21"/>
      <c r="J291" s="13"/>
      <c r="K291" s="13" t="str">
        <f aca="false">IF(A291="","",IFERROR(INDEX(Clientes!$B$2:$B$200,MATCH(B291,Clientes!$A$2:$A$200,0)),"Cliente no registrado"))</f>
        <v/>
      </c>
      <c r="L291" s="13" t="str">
        <f aca="false">IF(A291="","",IF(OR(J291="Entregado",J291="Anulado"),"No","Sí"))</f>
        <v/>
      </c>
      <c r="M291" s="13" t="str">
        <f aca="false">IF(A291="","",IF(J291="Entregado","Entregado",IF(J291="Anulado","Anulado",IF(F291="","Dato pendiente",IF(F291&lt;Control!$C$4,"Fuera de plazo","En plazo")))))</f>
        <v/>
      </c>
      <c r="N291" s="13" t="str">
        <f aca="false">IF(M291="Fuera de plazo",Control!$C$4-F291,"")</f>
        <v/>
      </c>
      <c r="O291" s="13" t="str">
        <f aca="false">IF(M291="Fuera de plazo",IF(J291="Listo para recoger","Cliente (no recoge)","Tienda o proveedor"),"")</f>
        <v/>
      </c>
      <c r="P291" s="13" t="str">
        <f aca="false">IF(A291="","",COUNTIF(Incidencias!$B$2:$B$151,A291))</f>
        <v/>
      </c>
      <c r="Q291" s="13" t="str">
        <f aca="false">IF(A291="","",COUNTIFS(Incidencias!$B$2:$B$151,A291,Incidencias!$F$2:$F$151,"Abierta"))</f>
        <v/>
      </c>
      <c r="R291" s="21" t="str">
        <f aca="false">IF(L291="Sí",H291-I291,IF(A291="","",0))</f>
        <v/>
      </c>
      <c r="S291" s="13" t="str">
        <f aca="false">IF(AND(J291="Entregado",F291&lt;&gt;"",G291&lt;&gt;""),IF(G291&lt;=F291,"Sí","No"),"")</f>
        <v/>
      </c>
      <c r="T291" s="13" t="str">
        <f aca="false">IF(A291="","",IF(K291="Cliente no registrado","Cliente sin dar de alta",IF(F291="","Falta fecha prevista",IF(AND(J291="Entregado",G291=""),"Entregado sin fecha de entrega",IF(ISNA(MATCH(J291,Inicio!$Z$1:$Z$6,0)),"Estado no reconocido",IF(F291&lt;C291,"Prevista anterior al pedido",IF(AND(G291&lt;&gt;"",G291&lt;C291),"Entrega anterior al pedido","")))))))</f>
        <v/>
      </c>
      <c r="U291" s="13" t="str">
        <f aca="false">IF(L291&lt;&gt;"Sí","",IF(M291="Dato pendiente","Poner fecha prevista y avisar al cliente",IF(M291="En plazo","Seguimiento normal",IF(J291="Listo para recoger","Recordar la recogida al cliente",IF(J291="Esperando pieza","Pedir fecha al proveedor y avisar al cliente",IF(J291="En taller","Revisar con el taller","Confirmar el pedido con el proveedor"))))))</f>
        <v/>
      </c>
      <c r="V291" s="29" t="str">
        <f aca="false">IF(M291="Dato pendiente",1000+ROW()/10000,IF(M291="Fuera de plazo",N291+ROW()/10000,""))</f>
        <v/>
      </c>
      <c r="W291" s="30" t="str">
        <f aca="false">IF(T291="","",ROW())</f>
        <v/>
      </c>
    </row>
    <row r="292" customFormat="false" ht="15" hidden="false" customHeight="false" outlineLevel="0" collapsed="false">
      <c r="A292" s="13"/>
      <c r="B292" s="13"/>
      <c r="C292" s="28"/>
      <c r="D292" s="13"/>
      <c r="E292" s="13"/>
      <c r="F292" s="28"/>
      <c r="G292" s="28"/>
      <c r="H292" s="21"/>
      <c r="I292" s="21"/>
      <c r="J292" s="13"/>
      <c r="K292" s="13" t="str">
        <f aca="false">IF(A292="","",IFERROR(INDEX(Clientes!$B$2:$B$200,MATCH(B292,Clientes!$A$2:$A$200,0)),"Cliente no registrado"))</f>
        <v/>
      </c>
      <c r="L292" s="13" t="str">
        <f aca="false">IF(A292="","",IF(OR(J292="Entregado",J292="Anulado"),"No","Sí"))</f>
        <v/>
      </c>
      <c r="M292" s="13" t="str">
        <f aca="false">IF(A292="","",IF(J292="Entregado","Entregado",IF(J292="Anulado","Anulado",IF(F292="","Dato pendiente",IF(F292&lt;Control!$C$4,"Fuera de plazo","En plazo")))))</f>
        <v/>
      </c>
      <c r="N292" s="13" t="str">
        <f aca="false">IF(M292="Fuera de plazo",Control!$C$4-F292,"")</f>
        <v/>
      </c>
      <c r="O292" s="13" t="str">
        <f aca="false">IF(M292="Fuera de plazo",IF(J292="Listo para recoger","Cliente (no recoge)","Tienda o proveedor"),"")</f>
        <v/>
      </c>
      <c r="P292" s="13" t="str">
        <f aca="false">IF(A292="","",COUNTIF(Incidencias!$B$2:$B$151,A292))</f>
        <v/>
      </c>
      <c r="Q292" s="13" t="str">
        <f aca="false">IF(A292="","",COUNTIFS(Incidencias!$B$2:$B$151,A292,Incidencias!$F$2:$F$151,"Abierta"))</f>
        <v/>
      </c>
      <c r="R292" s="21" t="str">
        <f aca="false">IF(L292="Sí",H292-I292,IF(A292="","",0))</f>
        <v/>
      </c>
      <c r="S292" s="13" t="str">
        <f aca="false">IF(AND(J292="Entregado",F292&lt;&gt;"",G292&lt;&gt;""),IF(G292&lt;=F292,"Sí","No"),"")</f>
        <v/>
      </c>
      <c r="T292" s="13" t="str">
        <f aca="false">IF(A292="","",IF(K292="Cliente no registrado","Cliente sin dar de alta",IF(F292="","Falta fecha prevista",IF(AND(J292="Entregado",G292=""),"Entregado sin fecha de entrega",IF(ISNA(MATCH(J292,Inicio!$Z$1:$Z$6,0)),"Estado no reconocido",IF(F292&lt;C292,"Prevista anterior al pedido",IF(AND(G292&lt;&gt;"",G292&lt;C292),"Entrega anterior al pedido","")))))))</f>
        <v/>
      </c>
      <c r="U292" s="13" t="str">
        <f aca="false">IF(L292&lt;&gt;"Sí","",IF(M292="Dato pendiente","Poner fecha prevista y avisar al cliente",IF(M292="En plazo","Seguimiento normal",IF(J292="Listo para recoger","Recordar la recogida al cliente",IF(J292="Esperando pieza","Pedir fecha al proveedor y avisar al cliente",IF(J292="En taller","Revisar con el taller","Confirmar el pedido con el proveedor"))))))</f>
        <v/>
      </c>
      <c r="V292" s="29" t="str">
        <f aca="false">IF(M292="Dato pendiente",1000+ROW()/10000,IF(M292="Fuera de plazo",N292+ROW()/10000,""))</f>
        <v/>
      </c>
      <c r="W292" s="30" t="str">
        <f aca="false">IF(T292="","",ROW())</f>
        <v/>
      </c>
    </row>
    <row r="293" customFormat="false" ht="15" hidden="false" customHeight="false" outlineLevel="0" collapsed="false">
      <c r="A293" s="13"/>
      <c r="B293" s="13"/>
      <c r="C293" s="28"/>
      <c r="D293" s="13"/>
      <c r="E293" s="13"/>
      <c r="F293" s="28"/>
      <c r="G293" s="28"/>
      <c r="H293" s="21"/>
      <c r="I293" s="21"/>
      <c r="J293" s="13"/>
      <c r="K293" s="13" t="str">
        <f aca="false">IF(A293="","",IFERROR(INDEX(Clientes!$B$2:$B$200,MATCH(B293,Clientes!$A$2:$A$200,0)),"Cliente no registrado"))</f>
        <v/>
      </c>
      <c r="L293" s="13" t="str">
        <f aca="false">IF(A293="","",IF(OR(J293="Entregado",J293="Anulado"),"No","Sí"))</f>
        <v/>
      </c>
      <c r="M293" s="13" t="str">
        <f aca="false">IF(A293="","",IF(J293="Entregado","Entregado",IF(J293="Anulado","Anulado",IF(F293="","Dato pendiente",IF(F293&lt;Control!$C$4,"Fuera de plazo","En plazo")))))</f>
        <v/>
      </c>
      <c r="N293" s="13" t="str">
        <f aca="false">IF(M293="Fuera de plazo",Control!$C$4-F293,"")</f>
        <v/>
      </c>
      <c r="O293" s="13" t="str">
        <f aca="false">IF(M293="Fuera de plazo",IF(J293="Listo para recoger","Cliente (no recoge)","Tienda o proveedor"),"")</f>
        <v/>
      </c>
      <c r="P293" s="13" t="str">
        <f aca="false">IF(A293="","",COUNTIF(Incidencias!$B$2:$B$151,A293))</f>
        <v/>
      </c>
      <c r="Q293" s="13" t="str">
        <f aca="false">IF(A293="","",COUNTIFS(Incidencias!$B$2:$B$151,A293,Incidencias!$F$2:$F$151,"Abierta"))</f>
        <v/>
      </c>
      <c r="R293" s="21" t="str">
        <f aca="false">IF(L293="Sí",H293-I293,IF(A293="","",0))</f>
        <v/>
      </c>
      <c r="S293" s="13" t="str">
        <f aca="false">IF(AND(J293="Entregado",F293&lt;&gt;"",G293&lt;&gt;""),IF(G293&lt;=F293,"Sí","No"),"")</f>
        <v/>
      </c>
      <c r="T293" s="13" t="str">
        <f aca="false">IF(A293="","",IF(K293="Cliente no registrado","Cliente sin dar de alta",IF(F293="","Falta fecha prevista",IF(AND(J293="Entregado",G293=""),"Entregado sin fecha de entrega",IF(ISNA(MATCH(J293,Inicio!$Z$1:$Z$6,0)),"Estado no reconocido",IF(F293&lt;C293,"Prevista anterior al pedido",IF(AND(G293&lt;&gt;"",G293&lt;C293),"Entrega anterior al pedido","")))))))</f>
        <v/>
      </c>
      <c r="U293" s="13" t="str">
        <f aca="false">IF(L293&lt;&gt;"Sí","",IF(M293="Dato pendiente","Poner fecha prevista y avisar al cliente",IF(M293="En plazo","Seguimiento normal",IF(J293="Listo para recoger","Recordar la recogida al cliente",IF(J293="Esperando pieza","Pedir fecha al proveedor y avisar al cliente",IF(J293="En taller","Revisar con el taller","Confirmar el pedido con el proveedor"))))))</f>
        <v/>
      </c>
      <c r="V293" s="29" t="str">
        <f aca="false">IF(M293="Dato pendiente",1000+ROW()/10000,IF(M293="Fuera de plazo",N293+ROW()/10000,""))</f>
        <v/>
      </c>
      <c r="W293" s="30" t="str">
        <f aca="false">IF(T293="","",ROW())</f>
        <v/>
      </c>
    </row>
    <row r="294" customFormat="false" ht="15" hidden="false" customHeight="false" outlineLevel="0" collapsed="false">
      <c r="A294" s="13"/>
      <c r="B294" s="13"/>
      <c r="C294" s="28"/>
      <c r="D294" s="13"/>
      <c r="E294" s="13"/>
      <c r="F294" s="28"/>
      <c r="G294" s="28"/>
      <c r="H294" s="21"/>
      <c r="I294" s="21"/>
      <c r="J294" s="13"/>
      <c r="K294" s="13" t="str">
        <f aca="false">IF(A294="","",IFERROR(INDEX(Clientes!$B$2:$B$200,MATCH(B294,Clientes!$A$2:$A$200,0)),"Cliente no registrado"))</f>
        <v/>
      </c>
      <c r="L294" s="13" t="str">
        <f aca="false">IF(A294="","",IF(OR(J294="Entregado",J294="Anulado"),"No","Sí"))</f>
        <v/>
      </c>
      <c r="M294" s="13" t="str">
        <f aca="false">IF(A294="","",IF(J294="Entregado","Entregado",IF(J294="Anulado","Anulado",IF(F294="","Dato pendiente",IF(F294&lt;Control!$C$4,"Fuera de plazo","En plazo")))))</f>
        <v/>
      </c>
      <c r="N294" s="13" t="str">
        <f aca="false">IF(M294="Fuera de plazo",Control!$C$4-F294,"")</f>
        <v/>
      </c>
      <c r="O294" s="13" t="str">
        <f aca="false">IF(M294="Fuera de plazo",IF(J294="Listo para recoger","Cliente (no recoge)","Tienda o proveedor"),"")</f>
        <v/>
      </c>
      <c r="P294" s="13" t="str">
        <f aca="false">IF(A294="","",COUNTIF(Incidencias!$B$2:$B$151,A294))</f>
        <v/>
      </c>
      <c r="Q294" s="13" t="str">
        <f aca="false">IF(A294="","",COUNTIFS(Incidencias!$B$2:$B$151,A294,Incidencias!$F$2:$F$151,"Abierta"))</f>
        <v/>
      </c>
      <c r="R294" s="21" t="str">
        <f aca="false">IF(L294="Sí",H294-I294,IF(A294="","",0))</f>
        <v/>
      </c>
      <c r="S294" s="13" t="str">
        <f aca="false">IF(AND(J294="Entregado",F294&lt;&gt;"",G294&lt;&gt;""),IF(G294&lt;=F294,"Sí","No"),"")</f>
        <v/>
      </c>
      <c r="T294" s="13" t="str">
        <f aca="false">IF(A294="","",IF(K294="Cliente no registrado","Cliente sin dar de alta",IF(F294="","Falta fecha prevista",IF(AND(J294="Entregado",G294=""),"Entregado sin fecha de entrega",IF(ISNA(MATCH(J294,Inicio!$Z$1:$Z$6,0)),"Estado no reconocido",IF(F294&lt;C294,"Prevista anterior al pedido",IF(AND(G294&lt;&gt;"",G294&lt;C294),"Entrega anterior al pedido","")))))))</f>
        <v/>
      </c>
      <c r="U294" s="13" t="str">
        <f aca="false">IF(L294&lt;&gt;"Sí","",IF(M294="Dato pendiente","Poner fecha prevista y avisar al cliente",IF(M294="En plazo","Seguimiento normal",IF(J294="Listo para recoger","Recordar la recogida al cliente",IF(J294="Esperando pieza","Pedir fecha al proveedor y avisar al cliente",IF(J294="En taller","Revisar con el taller","Confirmar el pedido con el proveedor"))))))</f>
        <v/>
      </c>
      <c r="V294" s="29" t="str">
        <f aca="false">IF(M294="Dato pendiente",1000+ROW()/10000,IF(M294="Fuera de plazo",N294+ROW()/10000,""))</f>
        <v/>
      </c>
      <c r="W294" s="30" t="str">
        <f aca="false">IF(T294="","",ROW())</f>
        <v/>
      </c>
    </row>
    <row r="295" customFormat="false" ht="15" hidden="false" customHeight="false" outlineLevel="0" collapsed="false">
      <c r="A295" s="13"/>
      <c r="B295" s="13"/>
      <c r="C295" s="28"/>
      <c r="D295" s="13"/>
      <c r="E295" s="13"/>
      <c r="F295" s="28"/>
      <c r="G295" s="28"/>
      <c r="H295" s="21"/>
      <c r="I295" s="21"/>
      <c r="J295" s="13"/>
      <c r="K295" s="13" t="str">
        <f aca="false">IF(A295="","",IFERROR(INDEX(Clientes!$B$2:$B$200,MATCH(B295,Clientes!$A$2:$A$200,0)),"Cliente no registrado"))</f>
        <v/>
      </c>
      <c r="L295" s="13" t="str">
        <f aca="false">IF(A295="","",IF(OR(J295="Entregado",J295="Anulado"),"No","Sí"))</f>
        <v/>
      </c>
      <c r="M295" s="13" t="str">
        <f aca="false">IF(A295="","",IF(J295="Entregado","Entregado",IF(J295="Anulado","Anulado",IF(F295="","Dato pendiente",IF(F295&lt;Control!$C$4,"Fuera de plazo","En plazo")))))</f>
        <v/>
      </c>
      <c r="N295" s="13" t="str">
        <f aca="false">IF(M295="Fuera de plazo",Control!$C$4-F295,"")</f>
        <v/>
      </c>
      <c r="O295" s="13" t="str">
        <f aca="false">IF(M295="Fuera de plazo",IF(J295="Listo para recoger","Cliente (no recoge)","Tienda o proveedor"),"")</f>
        <v/>
      </c>
      <c r="P295" s="13" t="str">
        <f aca="false">IF(A295="","",COUNTIF(Incidencias!$B$2:$B$151,A295))</f>
        <v/>
      </c>
      <c r="Q295" s="13" t="str">
        <f aca="false">IF(A295="","",COUNTIFS(Incidencias!$B$2:$B$151,A295,Incidencias!$F$2:$F$151,"Abierta"))</f>
        <v/>
      </c>
      <c r="R295" s="21" t="str">
        <f aca="false">IF(L295="Sí",H295-I295,IF(A295="","",0))</f>
        <v/>
      </c>
      <c r="S295" s="13" t="str">
        <f aca="false">IF(AND(J295="Entregado",F295&lt;&gt;"",G295&lt;&gt;""),IF(G295&lt;=F295,"Sí","No"),"")</f>
        <v/>
      </c>
      <c r="T295" s="13" t="str">
        <f aca="false">IF(A295="","",IF(K295="Cliente no registrado","Cliente sin dar de alta",IF(F295="","Falta fecha prevista",IF(AND(J295="Entregado",G295=""),"Entregado sin fecha de entrega",IF(ISNA(MATCH(J295,Inicio!$Z$1:$Z$6,0)),"Estado no reconocido",IF(F295&lt;C295,"Prevista anterior al pedido",IF(AND(G295&lt;&gt;"",G295&lt;C295),"Entrega anterior al pedido","")))))))</f>
        <v/>
      </c>
      <c r="U295" s="13" t="str">
        <f aca="false">IF(L295&lt;&gt;"Sí","",IF(M295="Dato pendiente","Poner fecha prevista y avisar al cliente",IF(M295="En plazo","Seguimiento normal",IF(J295="Listo para recoger","Recordar la recogida al cliente",IF(J295="Esperando pieza","Pedir fecha al proveedor y avisar al cliente",IF(J295="En taller","Revisar con el taller","Confirmar el pedido con el proveedor"))))))</f>
        <v/>
      </c>
      <c r="V295" s="29" t="str">
        <f aca="false">IF(M295="Dato pendiente",1000+ROW()/10000,IF(M295="Fuera de plazo",N295+ROW()/10000,""))</f>
        <v/>
      </c>
      <c r="W295" s="30" t="str">
        <f aca="false">IF(T295="","",ROW())</f>
        <v/>
      </c>
    </row>
    <row r="296" customFormat="false" ht="15" hidden="false" customHeight="false" outlineLevel="0" collapsed="false">
      <c r="A296" s="13"/>
      <c r="B296" s="13"/>
      <c r="C296" s="28"/>
      <c r="D296" s="13"/>
      <c r="E296" s="13"/>
      <c r="F296" s="28"/>
      <c r="G296" s="28"/>
      <c r="H296" s="21"/>
      <c r="I296" s="21"/>
      <c r="J296" s="13"/>
      <c r="K296" s="13" t="str">
        <f aca="false">IF(A296="","",IFERROR(INDEX(Clientes!$B$2:$B$200,MATCH(B296,Clientes!$A$2:$A$200,0)),"Cliente no registrado"))</f>
        <v/>
      </c>
      <c r="L296" s="13" t="str">
        <f aca="false">IF(A296="","",IF(OR(J296="Entregado",J296="Anulado"),"No","Sí"))</f>
        <v/>
      </c>
      <c r="M296" s="13" t="str">
        <f aca="false">IF(A296="","",IF(J296="Entregado","Entregado",IF(J296="Anulado","Anulado",IF(F296="","Dato pendiente",IF(F296&lt;Control!$C$4,"Fuera de plazo","En plazo")))))</f>
        <v/>
      </c>
      <c r="N296" s="13" t="str">
        <f aca="false">IF(M296="Fuera de plazo",Control!$C$4-F296,"")</f>
        <v/>
      </c>
      <c r="O296" s="13" t="str">
        <f aca="false">IF(M296="Fuera de plazo",IF(J296="Listo para recoger","Cliente (no recoge)","Tienda o proveedor"),"")</f>
        <v/>
      </c>
      <c r="P296" s="13" t="str">
        <f aca="false">IF(A296="","",COUNTIF(Incidencias!$B$2:$B$151,A296))</f>
        <v/>
      </c>
      <c r="Q296" s="13" t="str">
        <f aca="false">IF(A296="","",COUNTIFS(Incidencias!$B$2:$B$151,A296,Incidencias!$F$2:$F$151,"Abierta"))</f>
        <v/>
      </c>
      <c r="R296" s="21" t="str">
        <f aca="false">IF(L296="Sí",H296-I296,IF(A296="","",0))</f>
        <v/>
      </c>
      <c r="S296" s="13" t="str">
        <f aca="false">IF(AND(J296="Entregado",F296&lt;&gt;"",G296&lt;&gt;""),IF(G296&lt;=F296,"Sí","No"),"")</f>
        <v/>
      </c>
      <c r="T296" s="13" t="str">
        <f aca="false">IF(A296="","",IF(K296="Cliente no registrado","Cliente sin dar de alta",IF(F296="","Falta fecha prevista",IF(AND(J296="Entregado",G296=""),"Entregado sin fecha de entrega",IF(ISNA(MATCH(J296,Inicio!$Z$1:$Z$6,0)),"Estado no reconocido",IF(F296&lt;C296,"Prevista anterior al pedido",IF(AND(G296&lt;&gt;"",G296&lt;C296),"Entrega anterior al pedido","")))))))</f>
        <v/>
      </c>
      <c r="U296" s="13" t="str">
        <f aca="false">IF(L296&lt;&gt;"Sí","",IF(M296="Dato pendiente","Poner fecha prevista y avisar al cliente",IF(M296="En plazo","Seguimiento normal",IF(J296="Listo para recoger","Recordar la recogida al cliente",IF(J296="Esperando pieza","Pedir fecha al proveedor y avisar al cliente",IF(J296="En taller","Revisar con el taller","Confirmar el pedido con el proveedor"))))))</f>
        <v/>
      </c>
      <c r="V296" s="29" t="str">
        <f aca="false">IF(M296="Dato pendiente",1000+ROW()/10000,IF(M296="Fuera de plazo",N296+ROW()/10000,""))</f>
        <v/>
      </c>
      <c r="W296" s="30" t="str">
        <f aca="false">IF(T296="","",ROW())</f>
        <v/>
      </c>
    </row>
    <row r="297" customFormat="false" ht="15" hidden="false" customHeight="false" outlineLevel="0" collapsed="false">
      <c r="A297" s="13"/>
      <c r="B297" s="13"/>
      <c r="C297" s="28"/>
      <c r="D297" s="13"/>
      <c r="E297" s="13"/>
      <c r="F297" s="28"/>
      <c r="G297" s="28"/>
      <c r="H297" s="21"/>
      <c r="I297" s="21"/>
      <c r="J297" s="13"/>
      <c r="K297" s="13" t="str">
        <f aca="false">IF(A297="","",IFERROR(INDEX(Clientes!$B$2:$B$200,MATCH(B297,Clientes!$A$2:$A$200,0)),"Cliente no registrado"))</f>
        <v/>
      </c>
      <c r="L297" s="13" t="str">
        <f aca="false">IF(A297="","",IF(OR(J297="Entregado",J297="Anulado"),"No","Sí"))</f>
        <v/>
      </c>
      <c r="M297" s="13" t="str">
        <f aca="false">IF(A297="","",IF(J297="Entregado","Entregado",IF(J297="Anulado","Anulado",IF(F297="","Dato pendiente",IF(F297&lt;Control!$C$4,"Fuera de plazo","En plazo")))))</f>
        <v/>
      </c>
      <c r="N297" s="13" t="str">
        <f aca="false">IF(M297="Fuera de plazo",Control!$C$4-F297,"")</f>
        <v/>
      </c>
      <c r="O297" s="13" t="str">
        <f aca="false">IF(M297="Fuera de plazo",IF(J297="Listo para recoger","Cliente (no recoge)","Tienda o proveedor"),"")</f>
        <v/>
      </c>
      <c r="P297" s="13" t="str">
        <f aca="false">IF(A297="","",COUNTIF(Incidencias!$B$2:$B$151,A297))</f>
        <v/>
      </c>
      <c r="Q297" s="13" t="str">
        <f aca="false">IF(A297="","",COUNTIFS(Incidencias!$B$2:$B$151,A297,Incidencias!$F$2:$F$151,"Abierta"))</f>
        <v/>
      </c>
      <c r="R297" s="21" t="str">
        <f aca="false">IF(L297="Sí",H297-I297,IF(A297="","",0))</f>
        <v/>
      </c>
      <c r="S297" s="13" t="str">
        <f aca="false">IF(AND(J297="Entregado",F297&lt;&gt;"",G297&lt;&gt;""),IF(G297&lt;=F297,"Sí","No"),"")</f>
        <v/>
      </c>
      <c r="T297" s="13" t="str">
        <f aca="false">IF(A297="","",IF(K297="Cliente no registrado","Cliente sin dar de alta",IF(F297="","Falta fecha prevista",IF(AND(J297="Entregado",G297=""),"Entregado sin fecha de entrega",IF(ISNA(MATCH(J297,Inicio!$Z$1:$Z$6,0)),"Estado no reconocido",IF(F297&lt;C297,"Prevista anterior al pedido",IF(AND(G297&lt;&gt;"",G297&lt;C297),"Entrega anterior al pedido","")))))))</f>
        <v/>
      </c>
      <c r="U297" s="13" t="str">
        <f aca="false">IF(L297&lt;&gt;"Sí","",IF(M297="Dato pendiente","Poner fecha prevista y avisar al cliente",IF(M297="En plazo","Seguimiento normal",IF(J297="Listo para recoger","Recordar la recogida al cliente",IF(J297="Esperando pieza","Pedir fecha al proveedor y avisar al cliente",IF(J297="En taller","Revisar con el taller","Confirmar el pedido con el proveedor"))))))</f>
        <v/>
      </c>
      <c r="V297" s="29" t="str">
        <f aca="false">IF(M297="Dato pendiente",1000+ROW()/10000,IF(M297="Fuera de plazo",N297+ROW()/10000,""))</f>
        <v/>
      </c>
      <c r="W297" s="30" t="str">
        <f aca="false">IF(T297="","",ROW())</f>
        <v/>
      </c>
    </row>
    <row r="298" customFormat="false" ht="15" hidden="false" customHeight="false" outlineLevel="0" collapsed="false">
      <c r="A298" s="13"/>
      <c r="B298" s="13"/>
      <c r="C298" s="28"/>
      <c r="D298" s="13"/>
      <c r="E298" s="13"/>
      <c r="F298" s="28"/>
      <c r="G298" s="28"/>
      <c r="H298" s="21"/>
      <c r="I298" s="21"/>
      <c r="J298" s="13"/>
      <c r="K298" s="13" t="str">
        <f aca="false">IF(A298="","",IFERROR(INDEX(Clientes!$B$2:$B$200,MATCH(B298,Clientes!$A$2:$A$200,0)),"Cliente no registrado"))</f>
        <v/>
      </c>
      <c r="L298" s="13" t="str">
        <f aca="false">IF(A298="","",IF(OR(J298="Entregado",J298="Anulado"),"No","Sí"))</f>
        <v/>
      </c>
      <c r="M298" s="13" t="str">
        <f aca="false">IF(A298="","",IF(J298="Entregado","Entregado",IF(J298="Anulado","Anulado",IF(F298="","Dato pendiente",IF(F298&lt;Control!$C$4,"Fuera de plazo","En plazo")))))</f>
        <v/>
      </c>
      <c r="N298" s="13" t="str">
        <f aca="false">IF(M298="Fuera de plazo",Control!$C$4-F298,"")</f>
        <v/>
      </c>
      <c r="O298" s="13" t="str">
        <f aca="false">IF(M298="Fuera de plazo",IF(J298="Listo para recoger","Cliente (no recoge)","Tienda o proveedor"),"")</f>
        <v/>
      </c>
      <c r="P298" s="13" t="str">
        <f aca="false">IF(A298="","",COUNTIF(Incidencias!$B$2:$B$151,A298))</f>
        <v/>
      </c>
      <c r="Q298" s="13" t="str">
        <f aca="false">IF(A298="","",COUNTIFS(Incidencias!$B$2:$B$151,A298,Incidencias!$F$2:$F$151,"Abierta"))</f>
        <v/>
      </c>
      <c r="R298" s="21" t="str">
        <f aca="false">IF(L298="Sí",H298-I298,IF(A298="","",0))</f>
        <v/>
      </c>
      <c r="S298" s="13" t="str">
        <f aca="false">IF(AND(J298="Entregado",F298&lt;&gt;"",G298&lt;&gt;""),IF(G298&lt;=F298,"Sí","No"),"")</f>
        <v/>
      </c>
      <c r="T298" s="13" t="str">
        <f aca="false">IF(A298="","",IF(K298="Cliente no registrado","Cliente sin dar de alta",IF(F298="","Falta fecha prevista",IF(AND(J298="Entregado",G298=""),"Entregado sin fecha de entrega",IF(ISNA(MATCH(J298,Inicio!$Z$1:$Z$6,0)),"Estado no reconocido",IF(F298&lt;C298,"Prevista anterior al pedido",IF(AND(G298&lt;&gt;"",G298&lt;C298),"Entrega anterior al pedido","")))))))</f>
        <v/>
      </c>
      <c r="U298" s="13" t="str">
        <f aca="false">IF(L298&lt;&gt;"Sí","",IF(M298="Dato pendiente","Poner fecha prevista y avisar al cliente",IF(M298="En plazo","Seguimiento normal",IF(J298="Listo para recoger","Recordar la recogida al cliente",IF(J298="Esperando pieza","Pedir fecha al proveedor y avisar al cliente",IF(J298="En taller","Revisar con el taller","Confirmar el pedido con el proveedor"))))))</f>
        <v/>
      </c>
      <c r="V298" s="29" t="str">
        <f aca="false">IF(M298="Dato pendiente",1000+ROW()/10000,IF(M298="Fuera de plazo",N298+ROW()/10000,""))</f>
        <v/>
      </c>
      <c r="W298" s="30" t="str">
        <f aca="false">IF(T298="","",ROW())</f>
        <v/>
      </c>
    </row>
    <row r="299" customFormat="false" ht="15" hidden="false" customHeight="false" outlineLevel="0" collapsed="false">
      <c r="A299" s="13"/>
      <c r="B299" s="13"/>
      <c r="C299" s="28"/>
      <c r="D299" s="13"/>
      <c r="E299" s="13"/>
      <c r="F299" s="28"/>
      <c r="G299" s="28"/>
      <c r="H299" s="21"/>
      <c r="I299" s="21"/>
      <c r="J299" s="13"/>
      <c r="K299" s="13" t="str">
        <f aca="false">IF(A299="","",IFERROR(INDEX(Clientes!$B$2:$B$200,MATCH(B299,Clientes!$A$2:$A$200,0)),"Cliente no registrado"))</f>
        <v/>
      </c>
      <c r="L299" s="13" t="str">
        <f aca="false">IF(A299="","",IF(OR(J299="Entregado",J299="Anulado"),"No","Sí"))</f>
        <v/>
      </c>
      <c r="M299" s="13" t="str">
        <f aca="false">IF(A299="","",IF(J299="Entregado","Entregado",IF(J299="Anulado","Anulado",IF(F299="","Dato pendiente",IF(F299&lt;Control!$C$4,"Fuera de plazo","En plazo")))))</f>
        <v/>
      </c>
      <c r="N299" s="13" t="str">
        <f aca="false">IF(M299="Fuera de plazo",Control!$C$4-F299,"")</f>
        <v/>
      </c>
      <c r="O299" s="13" t="str">
        <f aca="false">IF(M299="Fuera de plazo",IF(J299="Listo para recoger","Cliente (no recoge)","Tienda o proveedor"),"")</f>
        <v/>
      </c>
      <c r="P299" s="13" t="str">
        <f aca="false">IF(A299="","",COUNTIF(Incidencias!$B$2:$B$151,A299))</f>
        <v/>
      </c>
      <c r="Q299" s="13" t="str">
        <f aca="false">IF(A299="","",COUNTIFS(Incidencias!$B$2:$B$151,A299,Incidencias!$F$2:$F$151,"Abierta"))</f>
        <v/>
      </c>
      <c r="R299" s="21" t="str">
        <f aca="false">IF(L299="Sí",H299-I299,IF(A299="","",0))</f>
        <v/>
      </c>
      <c r="S299" s="13" t="str">
        <f aca="false">IF(AND(J299="Entregado",F299&lt;&gt;"",G299&lt;&gt;""),IF(G299&lt;=F299,"Sí","No"),"")</f>
        <v/>
      </c>
      <c r="T299" s="13" t="str">
        <f aca="false">IF(A299="","",IF(K299="Cliente no registrado","Cliente sin dar de alta",IF(F299="","Falta fecha prevista",IF(AND(J299="Entregado",G299=""),"Entregado sin fecha de entrega",IF(ISNA(MATCH(J299,Inicio!$Z$1:$Z$6,0)),"Estado no reconocido",IF(F299&lt;C299,"Prevista anterior al pedido",IF(AND(G299&lt;&gt;"",G299&lt;C299),"Entrega anterior al pedido","")))))))</f>
        <v/>
      </c>
      <c r="U299" s="13" t="str">
        <f aca="false">IF(L299&lt;&gt;"Sí","",IF(M299="Dato pendiente","Poner fecha prevista y avisar al cliente",IF(M299="En plazo","Seguimiento normal",IF(J299="Listo para recoger","Recordar la recogida al cliente",IF(J299="Esperando pieza","Pedir fecha al proveedor y avisar al cliente",IF(J299="En taller","Revisar con el taller","Confirmar el pedido con el proveedor"))))))</f>
        <v/>
      </c>
      <c r="V299" s="29" t="str">
        <f aca="false">IF(M299="Dato pendiente",1000+ROW()/10000,IF(M299="Fuera de plazo",N299+ROW()/10000,""))</f>
        <v/>
      </c>
      <c r="W299" s="30" t="str">
        <f aca="false">IF(T299="","",ROW())</f>
        <v/>
      </c>
    </row>
    <row r="300" customFormat="false" ht="15" hidden="false" customHeight="false" outlineLevel="0" collapsed="false">
      <c r="A300" s="13"/>
      <c r="B300" s="13"/>
      <c r="C300" s="28"/>
      <c r="D300" s="13"/>
      <c r="E300" s="13"/>
      <c r="F300" s="28"/>
      <c r="G300" s="28"/>
      <c r="H300" s="21"/>
      <c r="I300" s="21"/>
      <c r="J300" s="13"/>
      <c r="K300" s="13" t="str">
        <f aca="false">IF(A300="","",IFERROR(INDEX(Clientes!$B$2:$B$200,MATCH(B300,Clientes!$A$2:$A$200,0)),"Cliente no registrado"))</f>
        <v/>
      </c>
      <c r="L300" s="13" t="str">
        <f aca="false">IF(A300="","",IF(OR(J300="Entregado",J300="Anulado"),"No","Sí"))</f>
        <v/>
      </c>
      <c r="M300" s="13" t="str">
        <f aca="false">IF(A300="","",IF(J300="Entregado","Entregado",IF(J300="Anulado","Anulado",IF(F300="","Dato pendiente",IF(F300&lt;Control!$C$4,"Fuera de plazo","En plazo")))))</f>
        <v/>
      </c>
      <c r="N300" s="13" t="str">
        <f aca="false">IF(M300="Fuera de plazo",Control!$C$4-F300,"")</f>
        <v/>
      </c>
      <c r="O300" s="13" t="str">
        <f aca="false">IF(M300="Fuera de plazo",IF(J300="Listo para recoger","Cliente (no recoge)","Tienda o proveedor"),"")</f>
        <v/>
      </c>
      <c r="P300" s="13" t="str">
        <f aca="false">IF(A300="","",COUNTIF(Incidencias!$B$2:$B$151,A300))</f>
        <v/>
      </c>
      <c r="Q300" s="13" t="str">
        <f aca="false">IF(A300="","",COUNTIFS(Incidencias!$B$2:$B$151,A300,Incidencias!$F$2:$F$151,"Abierta"))</f>
        <v/>
      </c>
      <c r="R300" s="21" t="str">
        <f aca="false">IF(L300="Sí",H300-I300,IF(A300="","",0))</f>
        <v/>
      </c>
      <c r="S300" s="13" t="str">
        <f aca="false">IF(AND(J300="Entregado",F300&lt;&gt;"",G300&lt;&gt;""),IF(G300&lt;=F300,"Sí","No"),"")</f>
        <v/>
      </c>
      <c r="T300" s="13" t="str">
        <f aca="false">IF(A300="","",IF(K300="Cliente no registrado","Cliente sin dar de alta",IF(F300="","Falta fecha prevista",IF(AND(J300="Entregado",G300=""),"Entregado sin fecha de entrega",IF(ISNA(MATCH(J300,Inicio!$Z$1:$Z$6,0)),"Estado no reconocido",IF(F300&lt;C300,"Prevista anterior al pedido",IF(AND(G300&lt;&gt;"",G300&lt;C300),"Entrega anterior al pedido","")))))))</f>
        <v/>
      </c>
      <c r="U300" s="13" t="str">
        <f aca="false">IF(L300&lt;&gt;"Sí","",IF(M300="Dato pendiente","Poner fecha prevista y avisar al cliente",IF(M300="En plazo","Seguimiento normal",IF(J300="Listo para recoger","Recordar la recogida al cliente",IF(J300="Esperando pieza","Pedir fecha al proveedor y avisar al cliente",IF(J300="En taller","Revisar con el taller","Confirmar el pedido con el proveedor"))))))</f>
        <v/>
      </c>
      <c r="V300" s="29" t="str">
        <f aca="false">IF(M300="Dato pendiente",1000+ROW()/10000,IF(M300="Fuera de plazo",N300+ROW()/10000,""))</f>
        <v/>
      </c>
      <c r="W300" s="30" t="str">
        <f aca="false">IF(T300="","",ROW())</f>
        <v/>
      </c>
    </row>
    <row r="301" customFormat="false" ht="15" hidden="false" customHeight="false" outlineLevel="0" collapsed="false">
      <c r="A301" s="13"/>
      <c r="B301" s="13"/>
      <c r="C301" s="28"/>
      <c r="D301" s="13"/>
      <c r="E301" s="13"/>
      <c r="F301" s="28"/>
      <c r="G301" s="28"/>
      <c r="H301" s="21"/>
      <c r="I301" s="21"/>
      <c r="J301" s="13"/>
      <c r="K301" s="13" t="str">
        <f aca="false">IF(A301="","",IFERROR(INDEX(Clientes!$B$2:$B$200,MATCH(B301,Clientes!$A$2:$A$200,0)),"Cliente no registrado"))</f>
        <v/>
      </c>
      <c r="L301" s="13" t="str">
        <f aca="false">IF(A301="","",IF(OR(J301="Entregado",J301="Anulado"),"No","Sí"))</f>
        <v/>
      </c>
      <c r="M301" s="13" t="str">
        <f aca="false">IF(A301="","",IF(J301="Entregado","Entregado",IF(J301="Anulado","Anulado",IF(F301="","Dato pendiente",IF(F301&lt;Control!$C$4,"Fuera de plazo","En plazo")))))</f>
        <v/>
      </c>
      <c r="N301" s="13" t="str">
        <f aca="false">IF(M301="Fuera de plazo",Control!$C$4-F301,"")</f>
        <v/>
      </c>
      <c r="O301" s="13" t="str">
        <f aca="false">IF(M301="Fuera de plazo",IF(J301="Listo para recoger","Cliente (no recoge)","Tienda o proveedor"),"")</f>
        <v/>
      </c>
      <c r="P301" s="13" t="str">
        <f aca="false">IF(A301="","",COUNTIF(Incidencias!$B$2:$B$151,A301))</f>
        <v/>
      </c>
      <c r="Q301" s="13" t="str">
        <f aca="false">IF(A301="","",COUNTIFS(Incidencias!$B$2:$B$151,A301,Incidencias!$F$2:$F$151,"Abierta"))</f>
        <v/>
      </c>
      <c r="R301" s="21" t="str">
        <f aca="false">IF(L301="Sí",H301-I301,IF(A301="","",0))</f>
        <v/>
      </c>
      <c r="S301" s="13" t="str">
        <f aca="false">IF(AND(J301="Entregado",F301&lt;&gt;"",G301&lt;&gt;""),IF(G301&lt;=F301,"Sí","No"),"")</f>
        <v/>
      </c>
      <c r="T301" s="13" t="str">
        <f aca="false">IF(A301="","",IF(K301="Cliente no registrado","Cliente sin dar de alta",IF(F301="","Falta fecha prevista",IF(AND(J301="Entregado",G301=""),"Entregado sin fecha de entrega",IF(ISNA(MATCH(J301,Inicio!$Z$1:$Z$6,0)),"Estado no reconocido",IF(F301&lt;C301,"Prevista anterior al pedido",IF(AND(G301&lt;&gt;"",G301&lt;C301),"Entrega anterior al pedido","")))))))</f>
        <v/>
      </c>
      <c r="U301" s="13" t="str">
        <f aca="false">IF(L301&lt;&gt;"Sí","",IF(M301="Dato pendiente","Poner fecha prevista y avisar al cliente",IF(M301="En plazo","Seguimiento normal",IF(J301="Listo para recoger","Recordar la recogida al cliente",IF(J301="Esperando pieza","Pedir fecha al proveedor y avisar al cliente",IF(J301="En taller","Revisar con el taller","Confirmar el pedido con el proveedor"))))))</f>
        <v/>
      </c>
      <c r="V301" s="29" t="str">
        <f aca="false">IF(M301="Dato pendiente",1000+ROW()/10000,IF(M301="Fuera de plazo",N301+ROW()/10000,""))</f>
        <v/>
      </c>
      <c r="W301" s="30" t="str">
        <f aca="false">IF(T301="","",ROW())</f>
        <v/>
      </c>
    </row>
  </sheetData>
  <autoFilter ref="A1:W301"/>
  <conditionalFormatting sqref="M2:M301">
    <cfRule type="expression" priority="2" aboveAverage="0" equalAverage="0" bottom="0" percent="0" rank="0" text="" dxfId="9">
      <formula>$M2="Fuera de plazo"</formula>
    </cfRule>
    <cfRule type="expression" priority="3" aboveAverage="0" equalAverage="0" bottom="0" percent="0" rank="0" text="" dxfId="10">
      <formula>$M2="Dato pendiente"</formula>
    </cfRule>
  </conditionalFormatting>
  <conditionalFormatting sqref="T2:T301">
    <cfRule type="expression" priority="4" aboveAverage="0" equalAverage="0" bottom="0" percent="0" rank="0" text="" dxfId="10">
      <formula>$T2&lt;&gt;""</formula>
    </cfRule>
  </conditionalFormatting>
  <dataValidations count="1">
    <dataValidation allowBlank="true" error="Usa uno de los estados de la lista." errorStyle="stop" errorTitle="Estado no válido" operator="between" showDropDown="false" showErrorMessage="false" showInputMessage="false" sqref="J2:J301" type="list">
      <formula1>Inicio!$Z$1:$Z$6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42"/>
    <col collapsed="false" customWidth="true" hidden="false" outlineLevel="0" max="9" min="9" style="0" width="20"/>
    <col collapsed="false" customWidth="true" hidden="false" outlineLevel="0" max="10" min="10" style="0" width="11"/>
    <col collapsed="false" customWidth="true" hidden="false" outlineLevel="0" max="11" min="11" style="0" width="24"/>
  </cols>
  <sheetData>
    <row r="1" customFormat="false" ht="27.75" hidden="false" customHeight="true" outlineLevel="0" collapsed="false">
      <c r="A1" s="18" t="s">
        <v>261</v>
      </c>
      <c r="B1" s="18" t="s">
        <v>86</v>
      </c>
      <c r="C1" s="18" t="s">
        <v>262</v>
      </c>
      <c r="D1" s="18" t="s">
        <v>89</v>
      </c>
      <c r="E1" s="18" t="s">
        <v>263</v>
      </c>
      <c r="F1" s="18" t="s">
        <v>95</v>
      </c>
      <c r="G1" s="18" t="s">
        <v>264</v>
      </c>
      <c r="H1" s="18" t="s">
        <v>265</v>
      </c>
      <c r="I1" s="27" t="s">
        <v>266</v>
      </c>
      <c r="J1" s="27" t="s">
        <v>267</v>
      </c>
      <c r="K1" s="27" t="s">
        <v>101</v>
      </c>
    </row>
    <row r="2" customFormat="false" ht="15" hidden="false" customHeight="false" outlineLevel="0" collapsed="false">
      <c r="A2" s="13" t="s">
        <v>268</v>
      </c>
      <c r="B2" s="13" t="s">
        <v>107</v>
      </c>
      <c r="C2" s="28" t="n">
        <v>46179</v>
      </c>
      <c r="D2" s="13" t="s">
        <v>84</v>
      </c>
      <c r="E2" s="13" t="s">
        <v>269</v>
      </c>
      <c r="F2" s="13" t="s">
        <v>270</v>
      </c>
      <c r="G2" s="28" t="n">
        <v>46181</v>
      </c>
      <c r="H2" s="13" t="s">
        <v>271</v>
      </c>
      <c r="I2" s="13" t="str">
        <f aca="false">IF(A2="","",IFERROR(INDEX(Pedidos!$D$2:$D$301,MATCH(B2,Pedidos!$A$2:$A$301,0)),"Pedido no encontrado"))</f>
        <v>Encargo de componente</v>
      </c>
      <c r="J2" s="13" t="n">
        <f aca="false">IF(A2="","",IF(F2="Abierta",Control!$C$4-C2,IF(G2="","",G2-C2)))</f>
        <v>2</v>
      </c>
      <c r="K2" s="13" t="str">
        <f aca="false">IF(A2="","",IF(I2="Pedido no encontrado","Pedido no encontrado",IF(AND(F2="Cerrada",G2=""),"Cerrada sin fecha de cierre",IF(AND(G2&lt;&gt;"",G2&lt;C2),"Cierre anterior a la apertura",""))))</f>
        <v/>
      </c>
    </row>
    <row r="3" customFormat="false" ht="15" hidden="false" customHeight="false" outlineLevel="0" collapsed="false">
      <c r="A3" s="13" t="s">
        <v>272</v>
      </c>
      <c r="B3" s="13" t="s">
        <v>116</v>
      </c>
      <c r="C3" s="28" t="n">
        <v>46181</v>
      </c>
      <c r="D3" s="13" t="s">
        <v>80</v>
      </c>
      <c r="E3" s="13" t="s">
        <v>273</v>
      </c>
      <c r="F3" s="13" t="s">
        <v>270</v>
      </c>
      <c r="G3" s="28" t="n">
        <v>46184</v>
      </c>
      <c r="H3" s="13" t="s">
        <v>274</v>
      </c>
      <c r="I3" s="13" t="str">
        <f aca="false">IF(A3="","",IFERROR(INDEX(Pedidos!$D$2:$D$301,MATCH(B3,Pedidos!$A$2:$A$301,0)),"Pedido no encontrado"))</f>
        <v>Montaje PC</v>
      </c>
      <c r="J3" s="13" t="n">
        <f aca="false">IF(A3="","",IF(F3="Abierta",Control!$C$4-C3,IF(G3="","",G3-C3)))</f>
        <v>3</v>
      </c>
      <c r="K3" s="13" t="str">
        <f aca="false">IF(A3="","",IF(I3="Pedido no encontrado","Pedido no encontrado",IF(AND(F3="Cerrada",G3=""),"Cerrada sin fecha de cierre",IF(AND(G3&lt;&gt;"",G3&lt;C3),"Cierre anterior a la apertura",""))))</f>
        <v/>
      </c>
    </row>
    <row r="4" customFormat="false" ht="15" hidden="false" customHeight="false" outlineLevel="0" collapsed="false">
      <c r="A4" s="13" t="s">
        <v>275</v>
      </c>
      <c r="B4" s="13" t="s">
        <v>116</v>
      </c>
      <c r="C4" s="28" t="n">
        <v>46183</v>
      </c>
      <c r="D4" s="13" t="s">
        <v>79</v>
      </c>
      <c r="E4" s="13" t="s">
        <v>269</v>
      </c>
      <c r="F4" s="13" t="s">
        <v>270</v>
      </c>
      <c r="G4" s="28" t="n">
        <v>46184</v>
      </c>
      <c r="H4" s="13" t="s">
        <v>276</v>
      </c>
      <c r="I4" s="13" t="str">
        <f aca="false">IF(A4="","",IFERROR(INDEX(Pedidos!$D$2:$D$301,MATCH(B4,Pedidos!$A$2:$A$301,0)),"Pedido no encontrado"))</f>
        <v>Montaje PC</v>
      </c>
      <c r="J4" s="13" t="n">
        <f aca="false">IF(A4="","",IF(F4="Abierta",Control!$C$4-C4,IF(G4="","",G4-C4)))</f>
        <v>1</v>
      </c>
      <c r="K4" s="13" t="str">
        <f aca="false">IF(A4="","",IF(I4="Pedido no encontrado","Pedido no encontrado",IF(AND(F4="Cerrada",G4=""),"Cerrada sin fecha de cierre",IF(AND(G4&lt;&gt;"",G4&lt;C4),"Cierre anterior a la apertura",""))))</f>
        <v/>
      </c>
    </row>
    <row r="5" customFormat="false" ht="15" hidden="false" customHeight="false" outlineLevel="0" collapsed="false">
      <c r="A5" s="13" t="s">
        <v>277</v>
      </c>
      <c r="B5" s="13" t="s">
        <v>130</v>
      </c>
      <c r="C5" s="28" t="n">
        <v>46184</v>
      </c>
      <c r="D5" s="13" t="s">
        <v>81</v>
      </c>
      <c r="E5" s="13" t="s">
        <v>273</v>
      </c>
      <c r="F5" s="13" t="s">
        <v>270</v>
      </c>
      <c r="G5" s="28" t="n">
        <v>46189</v>
      </c>
      <c r="H5" s="13" t="s">
        <v>278</v>
      </c>
      <c r="I5" s="13" t="str">
        <f aca="false">IF(A5="","",IFERROR(INDEX(Pedidos!$D$2:$D$301,MATCH(B5,Pedidos!$A$2:$A$301,0)),"Pedido no encontrado"))</f>
        <v>Encargo de componente</v>
      </c>
      <c r="J5" s="13" t="n">
        <f aca="false">IF(A5="","",IF(F5="Abierta",Control!$C$4-C5,IF(G5="","",G5-C5)))</f>
        <v>5</v>
      </c>
      <c r="K5" s="13" t="str">
        <f aca="false">IF(A5="","",IF(I5="Pedido no encontrado","Pedido no encontrado",IF(AND(F5="Cerrada",G5=""),"Cerrada sin fecha de cierre",IF(AND(G5&lt;&gt;"",G5&lt;C5),"Cierre anterior a la apertura",""))))</f>
        <v/>
      </c>
    </row>
    <row r="6" customFormat="false" ht="15" hidden="false" customHeight="false" outlineLevel="0" collapsed="false">
      <c r="A6" s="13" t="s">
        <v>279</v>
      </c>
      <c r="B6" s="13" t="s">
        <v>126</v>
      </c>
      <c r="C6" s="28" t="n">
        <v>46187</v>
      </c>
      <c r="D6" s="13" t="s">
        <v>79</v>
      </c>
      <c r="E6" s="13" t="s">
        <v>269</v>
      </c>
      <c r="F6" s="13" t="s">
        <v>270</v>
      </c>
      <c r="G6" s="28" t="n">
        <v>46188</v>
      </c>
      <c r="H6" s="13" t="s">
        <v>280</v>
      </c>
      <c r="I6" s="13" t="str">
        <f aca="false">IF(A6="","",IFERROR(INDEX(Pedidos!$D$2:$D$301,MATCH(B6,Pedidos!$A$2:$A$301,0)),"Pedido no encontrado"))</f>
        <v>Encargo de componente</v>
      </c>
      <c r="J6" s="13" t="n">
        <f aca="false">IF(A6="","",IF(F6="Abierta",Control!$C$4-C6,IF(G6="","",G6-C6)))</f>
        <v>1</v>
      </c>
      <c r="K6" s="13" t="str">
        <f aca="false">IF(A6="","",IF(I6="Pedido no encontrado","Pedido no encontrado",IF(AND(F6="Cerrada",G6=""),"Cerrada sin fecha de cierre",IF(AND(G6&lt;&gt;"",G6&lt;C6),"Cierre anterior a la apertura",""))))</f>
        <v/>
      </c>
    </row>
    <row r="7" customFormat="false" ht="15" hidden="false" customHeight="false" outlineLevel="0" collapsed="false">
      <c r="A7" s="13" t="s">
        <v>281</v>
      </c>
      <c r="B7" s="13" t="s">
        <v>130</v>
      </c>
      <c r="C7" s="28" t="n">
        <v>46188</v>
      </c>
      <c r="D7" s="13" t="s">
        <v>79</v>
      </c>
      <c r="E7" s="13" t="s">
        <v>269</v>
      </c>
      <c r="F7" s="13" t="s">
        <v>270</v>
      </c>
      <c r="G7" s="28" t="n">
        <v>46192</v>
      </c>
      <c r="H7" s="13" t="s">
        <v>280</v>
      </c>
      <c r="I7" s="13" t="str">
        <f aca="false">IF(A7="","",IFERROR(INDEX(Pedidos!$D$2:$D$301,MATCH(B7,Pedidos!$A$2:$A$301,0)),"Pedido no encontrado"))</f>
        <v>Encargo de componente</v>
      </c>
      <c r="J7" s="13" t="n">
        <f aca="false">IF(A7="","",IF(F7="Abierta",Control!$C$4-C7,IF(G7="","",G7-C7)))</f>
        <v>4</v>
      </c>
      <c r="K7" s="13" t="str">
        <f aca="false">IF(A7="","",IF(I7="Pedido no encontrado","Pedido no encontrado",IF(AND(F7="Cerrada",G7=""),"Cerrada sin fecha de cierre",IF(AND(G7&lt;&gt;"",G7&lt;C7),"Cierre anterior a la apertura",""))))</f>
        <v/>
      </c>
    </row>
    <row r="8" customFormat="false" ht="15" hidden="false" customHeight="false" outlineLevel="0" collapsed="false">
      <c r="A8" s="13" t="s">
        <v>282</v>
      </c>
      <c r="B8" s="13" t="s">
        <v>133</v>
      </c>
      <c r="C8" s="28" t="n">
        <v>46194</v>
      </c>
      <c r="D8" s="13" t="s">
        <v>83</v>
      </c>
      <c r="E8" s="13" t="s">
        <v>283</v>
      </c>
      <c r="F8" s="13" t="s">
        <v>284</v>
      </c>
      <c r="G8" s="28"/>
      <c r="H8" s="13" t="s">
        <v>285</v>
      </c>
      <c r="I8" s="13" t="str">
        <f aca="false">IF(A8="","",IFERROR(INDEX(Pedidos!$D$2:$D$301,MATCH(B8,Pedidos!$A$2:$A$301,0)),"Pedido no encontrado"))</f>
        <v>Reparación</v>
      </c>
      <c r="J8" s="13" t="n">
        <f aca="false">IF(A8="","",IF(F8="Abierta",Control!$C$4-C8,IF(G8="","",G8-C8)))</f>
        <v>96</v>
      </c>
      <c r="K8" s="13" t="str">
        <f aca="false">IF(A8="","",IF(I8="Pedido no encontrado","Pedido no encontrado",IF(AND(F8="Cerrada",G8=""),"Cerrada sin fecha de cierre",IF(AND(G8&lt;&gt;"",G8&lt;C8),"Cierre anterior a la apertura",""))))</f>
        <v/>
      </c>
    </row>
    <row r="9" customFormat="false" ht="15" hidden="false" customHeight="false" outlineLevel="0" collapsed="false">
      <c r="A9" s="13" t="s">
        <v>286</v>
      </c>
      <c r="B9" s="13" t="s">
        <v>147</v>
      </c>
      <c r="C9" s="28" t="n">
        <v>46196</v>
      </c>
      <c r="D9" s="13" t="s">
        <v>82</v>
      </c>
      <c r="E9" s="13" t="s">
        <v>283</v>
      </c>
      <c r="F9" s="13" t="s">
        <v>270</v>
      </c>
      <c r="G9" s="28" t="n">
        <v>46197</v>
      </c>
      <c r="H9" s="13" t="s">
        <v>287</v>
      </c>
      <c r="I9" s="13" t="str">
        <f aca="false">IF(A9="","",IFERROR(INDEX(Pedidos!$D$2:$D$301,MATCH(B9,Pedidos!$A$2:$A$301,0)),"Pedido no encontrado"))</f>
        <v>Reparación</v>
      </c>
      <c r="J9" s="13" t="n">
        <f aca="false">IF(A9="","",IF(F9="Abierta",Control!$C$4-C9,IF(G9="","",G9-C9)))</f>
        <v>1</v>
      </c>
      <c r="K9" s="13" t="str">
        <f aca="false">IF(A9="","",IF(I9="Pedido no encontrado","Pedido no encontrado",IF(AND(F9="Cerrada",G9=""),"Cerrada sin fecha de cierre",IF(AND(G9&lt;&gt;"",G9&lt;C9),"Cierre anterior a la apertura",""))))</f>
        <v/>
      </c>
    </row>
    <row r="10" customFormat="false" ht="15" hidden="false" customHeight="false" outlineLevel="0" collapsed="false">
      <c r="A10" s="13" t="s">
        <v>288</v>
      </c>
      <c r="B10" s="13" t="s">
        <v>153</v>
      </c>
      <c r="C10" s="28" t="n">
        <v>46198</v>
      </c>
      <c r="D10" s="13" t="s">
        <v>82</v>
      </c>
      <c r="E10" s="13" t="s">
        <v>283</v>
      </c>
      <c r="F10" s="13" t="s">
        <v>270</v>
      </c>
      <c r="G10" s="28" t="n">
        <v>46201</v>
      </c>
      <c r="H10" s="13" t="s">
        <v>289</v>
      </c>
      <c r="I10" s="13" t="str">
        <f aca="false">IF(A10="","",IFERROR(INDEX(Pedidos!$D$2:$D$301,MATCH(B10,Pedidos!$A$2:$A$301,0)),"Pedido no encontrado"))</f>
        <v>Reparación</v>
      </c>
      <c r="J10" s="13" t="n">
        <f aca="false">IF(A10="","",IF(F10="Abierta",Control!$C$4-C10,IF(G10="","",G10-C10)))</f>
        <v>3</v>
      </c>
      <c r="K10" s="13" t="str">
        <f aca="false">IF(A10="","",IF(I10="Pedido no encontrado","Pedido no encontrado",IF(AND(F10="Cerrada",G10=""),"Cerrada sin fecha de cierre",IF(AND(G10&lt;&gt;"",G10&lt;C10),"Cierre anterior a la apertura",""))))</f>
        <v/>
      </c>
    </row>
    <row r="11" customFormat="false" ht="15" hidden="false" customHeight="false" outlineLevel="0" collapsed="false">
      <c r="A11" s="13" t="s">
        <v>290</v>
      </c>
      <c r="B11" s="13" t="s">
        <v>154</v>
      </c>
      <c r="C11" s="28" t="n">
        <v>46201</v>
      </c>
      <c r="D11" s="13" t="s">
        <v>79</v>
      </c>
      <c r="E11" s="13" t="s">
        <v>269</v>
      </c>
      <c r="F11" s="13" t="s">
        <v>270</v>
      </c>
      <c r="G11" s="28" t="n">
        <v>46203</v>
      </c>
      <c r="H11" s="13" t="s">
        <v>280</v>
      </c>
      <c r="I11" s="13" t="str">
        <f aca="false">IF(A11="","",IFERROR(INDEX(Pedidos!$D$2:$D$301,MATCH(B11,Pedidos!$A$2:$A$301,0)),"Pedido no encontrado"))</f>
        <v>Streaming</v>
      </c>
      <c r="J11" s="13" t="n">
        <f aca="false">IF(A11="","",IF(F11="Abierta",Control!$C$4-C11,IF(G11="","",G11-C11)))</f>
        <v>2</v>
      </c>
      <c r="K11" s="13" t="str">
        <f aca="false">IF(A11="","",IF(I11="Pedido no encontrado","Pedido no encontrado",IF(AND(F11="Cerrada",G11=""),"Cerrada sin fecha de cierre",IF(AND(G11&lt;&gt;"",G11&lt;C11),"Cierre anterior a la apertura",""))))</f>
        <v/>
      </c>
    </row>
    <row r="12" customFormat="false" ht="15" hidden="false" customHeight="false" outlineLevel="0" collapsed="false">
      <c r="A12" s="13" t="s">
        <v>291</v>
      </c>
      <c r="B12" s="13" t="s">
        <v>149</v>
      </c>
      <c r="C12" s="28" t="n">
        <v>46207</v>
      </c>
      <c r="D12" s="13" t="s">
        <v>85</v>
      </c>
      <c r="E12" s="13" t="s">
        <v>283</v>
      </c>
      <c r="F12" s="13" t="s">
        <v>270</v>
      </c>
      <c r="G12" s="28" t="n">
        <v>46209</v>
      </c>
      <c r="H12" s="13" t="s">
        <v>292</v>
      </c>
      <c r="I12" s="13" t="str">
        <f aca="false">IF(A12="","",IFERROR(INDEX(Pedidos!$D$2:$D$301,MATCH(B12,Pedidos!$A$2:$A$301,0)),"Pedido no encontrado"))</f>
        <v>Portátil</v>
      </c>
      <c r="J12" s="13" t="n">
        <f aca="false">IF(A12="","",IF(F12="Abierta",Control!$C$4-C12,IF(G12="","",G12-C12)))</f>
        <v>2</v>
      </c>
      <c r="K12" s="13" t="str">
        <f aca="false">IF(A12="","",IF(I12="Pedido no encontrado","Pedido no encontrado",IF(AND(F12="Cerrada",G12=""),"Cerrada sin fecha de cierre",IF(AND(G12&lt;&gt;"",G12&lt;C12),"Cierre anterior a la apertura",""))))</f>
        <v/>
      </c>
    </row>
    <row r="13" customFormat="false" ht="15" hidden="false" customHeight="false" outlineLevel="0" collapsed="false">
      <c r="A13" s="13" t="s">
        <v>293</v>
      </c>
      <c r="B13" s="13" t="s">
        <v>170</v>
      </c>
      <c r="C13" s="28" t="n">
        <v>46212</v>
      </c>
      <c r="D13" s="13" t="s">
        <v>80</v>
      </c>
      <c r="E13" s="13" t="s">
        <v>273</v>
      </c>
      <c r="F13" s="13" t="s">
        <v>270</v>
      </c>
      <c r="G13" s="28" t="n">
        <v>46216</v>
      </c>
      <c r="H13" s="13" t="s">
        <v>294</v>
      </c>
      <c r="I13" s="13" t="str">
        <f aca="false">IF(A13="","",IFERROR(INDEX(Pedidos!$D$2:$D$301,MATCH(B13,Pedidos!$A$2:$A$301,0)),"Pedido no encontrado"))</f>
        <v>Montaje PC</v>
      </c>
      <c r="J13" s="13" t="n">
        <f aca="false">IF(A13="","",IF(F13="Abierta",Control!$C$4-C13,IF(G13="","",G13-C13)))</f>
        <v>4</v>
      </c>
      <c r="K13" s="13" t="str">
        <f aca="false">IF(A13="","",IF(I13="Pedido no encontrado","Pedido no encontrado",IF(AND(F13="Cerrada",G13=""),"Cerrada sin fecha de cierre",IF(AND(G13&lt;&gt;"",G13&lt;C13),"Cierre anterior a la apertura",""))))</f>
        <v/>
      </c>
    </row>
    <row r="14" customFormat="false" ht="15" hidden="false" customHeight="false" outlineLevel="0" collapsed="false">
      <c r="A14" s="13" t="s">
        <v>295</v>
      </c>
      <c r="B14" s="13" t="s">
        <v>181</v>
      </c>
      <c r="C14" s="28" t="n">
        <v>46236</v>
      </c>
      <c r="D14" s="13" t="s">
        <v>81</v>
      </c>
      <c r="E14" s="13" t="s">
        <v>273</v>
      </c>
      <c r="F14" s="13" t="s">
        <v>270</v>
      </c>
      <c r="G14" s="28" t="n">
        <v>46237</v>
      </c>
      <c r="H14" s="13" t="s">
        <v>296</v>
      </c>
      <c r="I14" s="13" t="str">
        <f aca="false">IF(A14="","",IFERROR(INDEX(Pedidos!$D$2:$D$301,MATCH(B14,Pedidos!$A$2:$A$301,0)),"Pedido no encontrado"))</f>
        <v>Encargo de componente</v>
      </c>
      <c r="J14" s="13" t="n">
        <f aca="false">IF(A14="","",IF(F14="Abierta",Control!$C$4-C14,IF(G14="","",G14-C14)))</f>
        <v>1</v>
      </c>
      <c r="K14" s="13" t="str">
        <f aca="false">IF(A14="","",IF(I14="Pedido no encontrado","Pedido no encontrado",IF(AND(F14="Cerrada",G14=""),"Cerrada sin fecha de cierre",IF(AND(G14&lt;&gt;"",G14&lt;C14),"Cierre anterior a la apertura",""))))</f>
        <v/>
      </c>
    </row>
    <row r="15" customFormat="false" ht="15" hidden="false" customHeight="false" outlineLevel="0" collapsed="false">
      <c r="A15" s="13" t="s">
        <v>297</v>
      </c>
      <c r="B15" s="13" t="s">
        <v>180</v>
      </c>
      <c r="C15" s="28" t="n">
        <v>46239</v>
      </c>
      <c r="D15" s="13" t="s">
        <v>83</v>
      </c>
      <c r="E15" s="13" t="s">
        <v>283</v>
      </c>
      <c r="F15" s="13" t="s">
        <v>284</v>
      </c>
      <c r="G15" s="28"/>
      <c r="H15" s="13" t="s">
        <v>285</v>
      </c>
      <c r="I15" s="13" t="str">
        <f aca="false">IF(A15="","",IFERROR(INDEX(Pedidos!$D$2:$D$301,MATCH(B15,Pedidos!$A$2:$A$301,0)),"Pedido no encontrado"))</f>
        <v>Reparación</v>
      </c>
      <c r="J15" s="13" t="n">
        <f aca="false">IF(A15="","",IF(F15="Abierta",Control!$C$4-C15,IF(G15="","",G15-C15)))</f>
        <v>51</v>
      </c>
      <c r="K15" s="13" t="str">
        <f aca="false">IF(A15="","",IF(I15="Pedido no encontrado","Pedido no encontrado",IF(AND(F15="Cerrada",G15=""),"Cerrada sin fecha de cierre",IF(AND(G15&lt;&gt;"",G15&lt;C15),"Cierre anterior a la apertura",""))))</f>
        <v/>
      </c>
    </row>
    <row r="16" customFormat="false" ht="15" hidden="false" customHeight="false" outlineLevel="0" collapsed="false">
      <c r="A16" s="13" t="s">
        <v>298</v>
      </c>
      <c r="B16" s="13" t="s">
        <v>237</v>
      </c>
      <c r="C16" s="28" t="n">
        <v>46279</v>
      </c>
      <c r="D16" s="13" t="s">
        <v>80</v>
      </c>
      <c r="E16" s="13" t="s">
        <v>273</v>
      </c>
      <c r="F16" s="13" t="s">
        <v>284</v>
      </c>
      <c r="G16" s="28"/>
      <c r="H16" s="13" t="s">
        <v>299</v>
      </c>
      <c r="I16" s="13" t="str">
        <f aca="false">IF(A16="","",IFERROR(INDEX(Pedidos!$D$2:$D$301,MATCH(B16,Pedidos!$A$2:$A$301,0)),"Pedido no encontrado"))</f>
        <v>Montaje PC</v>
      </c>
      <c r="J16" s="13" t="n">
        <f aca="false">IF(A16="","",IF(F16="Abierta",Control!$C$4-C16,IF(G16="","",G16-C16)))</f>
        <v>11</v>
      </c>
      <c r="K16" s="13" t="str">
        <f aca="false">IF(A16="","",IF(I16="Pedido no encontrado","Pedido no encontrado",IF(AND(F16="Cerrada",G16=""),"Cerrada sin fecha de cierre",IF(AND(G16&lt;&gt;"",G16&lt;C16),"Cierre anterior a la apertura",""))))</f>
        <v/>
      </c>
    </row>
    <row r="17" customFormat="false" ht="15" hidden="false" customHeight="false" outlineLevel="0" collapsed="false">
      <c r="A17" s="13" t="s">
        <v>300</v>
      </c>
      <c r="B17" s="13" t="s">
        <v>237</v>
      </c>
      <c r="C17" s="28" t="n">
        <v>46281</v>
      </c>
      <c r="D17" s="13" t="s">
        <v>79</v>
      </c>
      <c r="E17" s="13" t="s">
        <v>269</v>
      </c>
      <c r="F17" s="13" t="s">
        <v>284</v>
      </c>
      <c r="G17" s="28"/>
      <c r="H17" s="13" t="s">
        <v>280</v>
      </c>
      <c r="I17" s="13" t="str">
        <f aca="false">IF(A17="","",IFERROR(INDEX(Pedidos!$D$2:$D$301,MATCH(B17,Pedidos!$A$2:$A$301,0)),"Pedido no encontrado"))</f>
        <v>Montaje PC</v>
      </c>
      <c r="J17" s="13" t="n">
        <f aca="false">IF(A17="","",IF(F17="Abierta",Control!$C$4-C17,IF(G17="","",G17-C17)))</f>
        <v>9</v>
      </c>
      <c r="K17" s="13" t="str">
        <f aca="false">IF(A17="","",IF(I17="Pedido no encontrado","Pedido no encontrado",IF(AND(F17="Cerrada",G17=""),"Cerrada sin fecha de cierre",IF(AND(G17&lt;&gt;"",G17&lt;C17),"Cierre anterior a la apertura",""))))</f>
        <v/>
      </c>
    </row>
    <row r="18" customFormat="false" ht="15" hidden="false" customHeight="false" outlineLevel="0" collapsed="false">
      <c r="A18" s="13" t="s">
        <v>301</v>
      </c>
      <c r="B18" s="13" t="s">
        <v>248</v>
      </c>
      <c r="C18" s="28" t="n">
        <v>46287</v>
      </c>
      <c r="D18" s="13" t="s">
        <v>79</v>
      </c>
      <c r="E18" s="13" t="s">
        <v>269</v>
      </c>
      <c r="F18" s="13" t="s">
        <v>284</v>
      </c>
      <c r="G18" s="28"/>
      <c r="H18" s="13" t="s">
        <v>280</v>
      </c>
      <c r="I18" s="13" t="str">
        <f aca="false">IF(A18="","",IFERROR(INDEX(Pedidos!$D$2:$D$301,MATCH(B18,Pedidos!$A$2:$A$301,0)),"Pedido no encontrado"))</f>
        <v>Streaming</v>
      </c>
      <c r="J18" s="13" t="n">
        <f aca="false">IF(A18="","",IF(F18="Abierta",Control!$C$4-C18,IF(G18="","",G18-C18)))</f>
        <v>3</v>
      </c>
      <c r="K18" s="13" t="str">
        <f aca="false">IF(A18="","",IF(I18="Pedido no encontrado","Pedido no encontrado",IF(AND(F18="Cerrada",G18=""),"Cerrada sin fecha de cierre",IF(AND(G18&lt;&gt;"",G18&lt;C18),"Cierre anterior a la apertura",""))))</f>
        <v/>
      </c>
    </row>
    <row r="19" customFormat="false" ht="15" hidden="false" customHeight="false" outlineLevel="0" collapsed="false">
      <c r="A19" s="13" t="s">
        <v>302</v>
      </c>
      <c r="B19" s="13" t="s">
        <v>256</v>
      </c>
      <c r="C19" s="28" t="n">
        <v>46290</v>
      </c>
      <c r="D19" s="13" t="s">
        <v>79</v>
      </c>
      <c r="E19" s="13" t="s">
        <v>269</v>
      </c>
      <c r="F19" s="13" t="s">
        <v>284</v>
      </c>
      <c r="G19" s="28"/>
      <c r="H19" s="13" t="s">
        <v>280</v>
      </c>
      <c r="I19" s="13" t="str">
        <f aca="false">IF(A19="","",IFERROR(INDEX(Pedidos!$D$2:$D$301,MATCH(B19,Pedidos!$A$2:$A$301,0)),"Pedido no encontrado"))</f>
        <v>Encargo de componente</v>
      </c>
      <c r="J19" s="13" t="n">
        <f aca="false">IF(A19="","",IF(F19="Abierta",Control!$C$4-C19,IF(G19="","",G19-C19)))</f>
        <v>0</v>
      </c>
      <c r="K19" s="13" t="str">
        <f aca="false">IF(A19="","",IF(I19="Pedido no encontrado","Pedido no encontrado",IF(AND(F19="Cerrada",G19=""),"Cerrada sin fecha de cierre",IF(AND(G19&lt;&gt;"",G19&lt;C19),"Cierre anterior a la apertura",""))))</f>
        <v/>
      </c>
    </row>
    <row r="20" customFormat="false" ht="15" hidden="false" customHeight="false" outlineLevel="0" collapsed="false">
      <c r="A20" s="13" t="s">
        <v>303</v>
      </c>
      <c r="B20" s="13" t="s">
        <v>257</v>
      </c>
      <c r="C20" s="28" t="n">
        <v>46290</v>
      </c>
      <c r="D20" s="13" t="s">
        <v>79</v>
      </c>
      <c r="E20" s="13" t="s">
        <v>269</v>
      </c>
      <c r="F20" s="13" t="s">
        <v>284</v>
      </c>
      <c r="G20" s="28"/>
      <c r="H20" s="13" t="s">
        <v>280</v>
      </c>
      <c r="I20" s="13" t="str">
        <f aca="false">IF(A20="","",IFERROR(INDEX(Pedidos!$D$2:$D$301,MATCH(B20,Pedidos!$A$2:$A$301,0)),"Pedido no encontrado"))</f>
        <v>Encargo de componente</v>
      </c>
      <c r="J20" s="13" t="n">
        <f aca="false">IF(A20="","",IF(F20="Abierta",Control!$C$4-C20,IF(G20="","",G20-C20)))</f>
        <v>0</v>
      </c>
      <c r="K20" s="13" t="str">
        <f aca="false">IF(A20="","",IF(I20="Pedido no encontrado","Pedido no encontrado",IF(AND(F20="Cerrada",G20=""),"Cerrada sin fecha de cierre",IF(AND(G20&lt;&gt;"",G20&lt;C20),"Cierre anterior a la apertura",""))))</f>
        <v/>
      </c>
    </row>
    <row r="21" customFormat="false" ht="15" hidden="false" customHeight="false" outlineLevel="0" collapsed="false">
      <c r="A21" s="13"/>
      <c r="B21" s="13"/>
      <c r="C21" s="28"/>
      <c r="D21" s="13"/>
      <c r="E21" s="13"/>
      <c r="F21" s="13"/>
      <c r="G21" s="28"/>
      <c r="H21" s="13"/>
      <c r="I21" s="13" t="str">
        <f aca="false">IF(A21="","",IFERROR(INDEX(Pedidos!$D$2:$D$301,MATCH(B21,Pedidos!$A$2:$A$301,0)),"Pedido no encontrado"))</f>
        <v/>
      </c>
      <c r="J21" s="13" t="str">
        <f aca="false">IF(A21="","",IF(F21="Abierta",Control!$C$4-C21,IF(G21="","",G21-C21)))</f>
        <v/>
      </c>
      <c r="K21" s="13" t="str">
        <f aca="false">IF(A21="","",IF(I21="Pedido no encontrado","Pedido no encontrado",IF(AND(F21="Cerrada",G21=""),"Cerrada sin fecha de cierre",IF(AND(G21&lt;&gt;"",G21&lt;C21),"Cierre anterior a la apertura",""))))</f>
        <v/>
      </c>
    </row>
    <row r="22" customFormat="false" ht="15" hidden="false" customHeight="false" outlineLevel="0" collapsed="false">
      <c r="A22" s="13"/>
      <c r="B22" s="13"/>
      <c r="C22" s="28"/>
      <c r="D22" s="13"/>
      <c r="E22" s="13"/>
      <c r="F22" s="13"/>
      <c r="G22" s="28"/>
      <c r="H22" s="13"/>
      <c r="I22" s="13" t="str">
        <f aca="false">IF(A22="","",IFERROR(INDEX(Pedidos!$D$2:$D$301,MATCH(B22,Pedidos!$A$2:$A$301,0)),"Pedido no encontrado"))</f>
        <v/>
      </c>
      <c r="J22" s="13" t="str">
        <f aca="false">IF(A22="","",IF(F22="Abierta",Control!$C$4-C22,IF(G22="","",G22-C22)))</f>
        <v/>
      </c>
      <c r="K22" s="13" t="str">
        <f aca="false">IF(A22="","",IF(I22="Pedido no encontrado","Pedido no encontrado",IF(AND(F22="Cerrada",G22=""),"Cerrada sin fecha de cierre",IF(AND(G22&lt;&gt;"",G22&lt;C22),"Cierre anterior a la apertura",""))))</f>
        <v/>
      </c>
    </row>
    <row r="23" customFormat="false" ht="15" hidden="false" customHeight="false" outlineLevel="0" collapsed="false">
      <c r="A23" s="13"/>
      <c r="B23" s="13"/>
      <c r="C23" s="28"/>
      <c r="D23" s="13"/>
      <c r="E23" s="13"/>
      <c r="F23" s="13"/>
      <c r="G23" s="28"/>
      <c r="H23" s="13"/>
      <c r="I23" s="13" t="str">
        <f aca="false">IF(A23="","",IFERROR(INDEX(Pedidos!$D$2:$D$301,MATCH(B23,Pedidos!$A$2:$A$301,0)),"Pedido no encontrado"))</f>
        <v/>
      </c>
      <c r="J23" s="13" t="str">
        <f aca="false">IF(A23="","",IF(F23="Abierta",Control!$C$4-C23,IF(G23="","",G23-C23)))</f>
        <v/>
      </c>
      <c r="K23" s="13" t="str">
        <f aca="false">IF(A23="","",IF(I23="Pedido no encontrado","Pedido no encontrado",IF(AND(F23="Cerrada",G23=""),"Cerrada sin fecha de cierre",IF(AND(G23&lt;&gt;"",G23&lt;C23),"Cierre anterior a la apertura",""))))</f>
        <v/>
      </c>
    </row>
    <row r="24" customFormat="false" ht="15" hidden="false" customHeight="false" outlineLevel="0" collapsed="false">
      <c r="A24" s="13"/>
      <c r="B24" s="13"/>
      <c r="C24" s="28"/>
      <c r="D24" s="13"/>
      <c r="E24" s="13"/>
      <c r="F24" s="13"/>
      <c r="G24" s="28"/>
      <c r="H24" s="13"/>
      <c r="I24" s="13" t="str">
        <f aca="false">IF(A24="","",IFERROR(INDEX(Pedidos!$D$2:$D$301,MATCH(B24,Pedidos!$A$2:$A$301,0)),"Pedido no encontrado"))</f>
        <v/>
      </c>
      <c r="J24" s="13" t="str">
        <f aca="false">IF(A24="","",IF(F24="Abierta",Control!$C$4-C24,IF(G24="","",G24-C24)))</f>
        <v/>
      </c>
      <c r="K24" s="13" t="str">
        <f aca="false">IF(A24="","",IF(I24="Pedido no encontrado","Pedido no encontrado",IF(AND(F24="Cerrada",G24=""),"Cerrada sin fecha de cierre",IF(AND(G24&lt;&gt;"",G24&lt;C24),"Cierre anterior a la apertura",""))))</f>
        <v/>
      </c>
    </row>
    <row r="25" customFormat="false" ht="15" hidden="false" customHeight="false" outlineLevel="0" collapsed="false">
      <c r="A25" s="13"/>
      <c r="B25" s="13"/>
      <c r="C25" s="28"/>
      <c r="D25" s="13"/>
      <c r="E25" s="13"/>
      <c r="F25" s="13"/>
      <c r="G25" s="28"/>
      <c r="H25" s="13"/>
      <c r="I25" s="13" t="str">
        <f aca="false">IF(A25="","",IFERROR(INDEX(Pedidos!$D$2:$D$301,MATCH(B25,Pedidos!$A$2:$A$301,0)),"Pedido no encontrado"))</f>
        <v/>
      </c>
      <c r="J25" s="13" t="str">
        <f aca="false">IF(A25="","",IF(F25="Abierta",Control!$C$4-C25,IF(G25="","",G25-C25)))</f>
        <v/>
      </c>
      <c r="K25" s="13" t="str">
        <f aca="false">IF(A25="","",IF(I25="Pedido no encontrado","Pedido no encontrado",IF(AND(F25="Cerrada",G25=""),"Cerrada sin fecha de cierre",IF(AND(G25&lt;&gt;"",G25&lt;C25),"Cierre anterior a la apertura",""))))</f>
        <v/>
      </c>
    </row>
    <row r="26" customFormat="false" ht="15" hidden="false" customHeight="false" outlineLevel="0" collapsed="false">
      <c r="A26" s="13"/>
      <c r="B26" s="13"/>
      <c r="C26" s="28"/>
      <c r="D26" s="13"/>
      <c r="E26" s="13"/>
      <c r="F26" s="13"/>
      <c r="G26" s="28"/>
      <c r="H26" s="13"/>
      <c r="I26" s="13" t="str">
        <f aca="false">IF(A26="","",IFERROR(INDEX(Pedidos!$D$2:$D$301,MATCH(B26,Pedidos!$A$2:$A$301,0)),"Pedido no encontrado"))</f>
        <v/>
      </c>
      <c r="J26" s="13" t="str">
        <f aca="false">IF(A26="","",IF(F26="Abierta",Control!$C$4-C26,IF(G26="","",G26-C26)))</f>
        <v/>
      </c>
      <c r="K26" s="13" t="str">
        <f aca="false">IF(A26="","",IF(I26="Pedido no encontrado","Pedido no encontrado",IF(AND(F26="Cerrada",G26=""),"Cerrada sin fecha de cierre",IF(AND(G26&lt;&gt;"",G26&lt;C26),"Cierre anterior a la apertura",""))))</f>
        <v/>
      </c>
    </row>
    <row r="27" customFormat="false" ht="15" hidden="false" customHeight="false" outlineLevel="0" collapsed="false">
      <c r="A27" s="13"/>
      <c r="B27" s="13"/>
      <c r="C27" s="28"/>
      <c r="D27" s="13"/>
      <c r="E27" s="13"/>
      <c r="F27" s="13"/>
      <c r="G27" s="28"/>
      <c r="H27" s="13"/>
      <c r="I27" s="13" t="str">
        <f aca="false">IF(A27="","",IFERROR(INDEX(Pedidos!$D$2:$D$301,MATCH(B27,Pedidos!$A$2:$A$301,0)),"Pedido no encontrado"))</f>
        <v/>
      </c>
      <c r="J27" s="13" t="str">
        <f aca="false">IF(A27="","",IF(F27="Abierta",Control!$C$4-C27,IF(G27="","",G27-C27)))</f>
        <v/>
      </c>
      <c r="K27" s="13" t="str">
        <f aca="false">IF(A27="","",IF(I27="Pedido no encontrado","Pedido no encontrado",IF(AND(F27="Cerrada",G27=""),"Cerrada sin fecha de cierre",IF(AND(G27&lt;&gt;"",G27&lt;C27),"Cierre anterior a la apertura",""))))</f>
        <v/>
      </c>
    </row>
    <row r="28" customFormat="false" ht="15" hidden="false" customHeight="false" outlineLevel="0" collapsed="false">
      <c r="A28" s="13"/>
      <c r="B28" s="13"/>
      <c r="C28" s="28"/>
      <c r="D28" s="13"/>
      <c r="E28" s="13"/>
      <c r="F28" s="13"/>
      <c r="G28" s="28"/>
      <c r="H28" s="13"/>
      <c r="I28" s="13" t="str">
        <f aca="false">IF(A28="","",IFERROR(INDEX(Pedidos!$D$2:$D$301,MATCH(B28,Pedidos!$A$2:$A$301,0)),"Pedido no encontrado"))</f>
        <v/>
      </c>
      <c r="J28" s="13" t="str">
        <f aca="false">IF(A28="","",IF(F28="Abierta",Control!$C$4-C28,IF(G28="","",G28-C28)))</f>
        <v/>
      </c>
      <c r="K28" s="13" t="str">
        <f aca="false">IF(A28="","",IF(I28="Pedido no encontrado","Pedido no encontrado",IF(AND(F28="Cerrada",G28=""),"Cerrada sin fecha de cierre",IF(AND(G28&lt;&gt;"",G28&lt;C28),"Cierre anterior a la apertura",""))))</f>
        <v/>
      </c>
    </row>
    <row r="29" customFormat="false" ht="15" hidden="false" customHeight="false" outlineLevel="0" collapsed="false">
      <c r="A29" s="13"/>
      <c r="B29" s="13"/>
      <c r="C29" s="28"/>
      <c r="D29" s="13"/>
      <c r="E29" s="13"/>
      <c r="F29" s="13"/>
      <c r="G29" s="28"/>
      <c r="H29" s="13"/>
      <c r="I29" s="13" t="str">
        <f aca="false">IF(A29="","",IFERROR(INDEX(Pedidos!$D$2:$D$301,MATCH(B29,Pedidos!$A$2:$A$301,0)),"Pedido no encontrado"))</f>
        <v/>
      </c>
      <c r="J29" s="13" t="str">
        <f aca="false">IF(A29="","",IF(F29="Abierta",Control!$C$4-C29,IF(G29="","",G29-C29)))</f>
        <v/>
      </c>
      <c r="K29" s="13" t="str">
        <f aca="false">IF(A29="","",IF(I29="Pedido no encontrado","Pedido no encontrado",IF(AND(F29="Cerrada",G29=""),"Cerrada sin fecha de cierre",IF(AND(G29&lt;&gt;"",G29&lt;C29),"Cierre anterior a la apertura",""))))</f>
        <v/>
      </c>
    </row>
    <row r="30" customFormat="false" ht="15" hidden="false" customHeight="false" outlineLevel="0" collapsed="false">
      <c r="A30" s="13"/>
      <c r="B30" s="13"/>
      <c r="C30" s="28"/>
      <c r="D30" s="13"/>
      <c r="E30" s="13"/>
      <c r="F30" s="13"/>
      <c r="G30" s="28"/>
      <c r="H30" s="13"/>
      <c r="I30" s="13" t="str">
        <f aca="false">IF(A30="","",IFERROR(INDEX(Pedidos!$D$2:$D$301,MATCH(B30,Pedidos!$A$2:$A$301,0)),"Pedido no encontrado"))</f>
        <v/>
      </c>
      <c r="J30" s="13" t="str">
        <f aca="false">IF(A30="","",IF(F30="Abierta",Control!$C$4-C30,IF(G30="","",G30-C30)))</f>
        <v/>
      </c>
      <c r="K30" s="13" t="str">
        <f aca="false">IF(A30="","",IF(I30="Pedido no encontrado","Pedido no encontrado",IF(AND(F30="Cerrada",G30=""),"Cerrada sin fecha de cierre",IF(AND(G30&lt;&gt;"",G30&lt;C30),"Cierre anterior a la apertura",""))))</f>
        <v/>
      </c>
    </row>
    <row r="31" customFormat="false" ht="15" hidden="false" customHeight="false" outlineLevel="0" collapsed="false">
      <c r="A31" s="13"/>
      <c r="B31" s="13"/>
      <c r="C31" s="28"/>
      <c r="D31" s="13"/>
      <c r="E31" s="13"/>
      <c r="F31" s="13"/>
      <c r="G31" s="28"/>
      <c r="H31" s="13"/>
      <c r="I31" s="13" t="str">
        <f aca="false">IF(A31="","",IFERROR(INDEX(Pedidos!$D$2:$D$301,MATCH(B31,Pedidos!$A$2:$A$301,0)),"Pedido no encontrado"))</f>
        <v/>
      </c>
      <c r="J31" s="13" t="str">
        <f aca="false">IF(A31="","",IF(F31="Abierta",Control!$C$4-C31,IF(G31="","",G31-C31)))</f>
        <v/>
      </c>
      <c r="K31" s="13" t="str">
        <f aca="false">IF(A31="","",IF(I31="Pedido no encontrado","Pedido no encontrado",IF(AND(F31="Cerrada",G31=""),"Cerrada sin fecha de cierre",IF(AND(G31&lt;&gt;"",G31&lt;C31),"Cierre anterior a la apertura",""))))</f>
        <v/>
      </c>
    </row>
    <row r="32" customFormat="false" ht="15" hidden="false" customHeight="false" outlineLevel="0" collapsed="false">
      <c r="A32" s="13"/>
      <c r="B32" s="13"/>
      <c r="C32" s="28"/>
      <c r="D32" s="13"/>
      <c r="E32" s="13"/>
      <c r="F32" s="13"/>
      <c r="G32" s="28"/>
      <c r="H32" s="13"/>
      <c r="I32" s="13" t="str">
        <f aca="false">IF(A32="","",IFERROR(INDEX(Pedidos!$D$2:$D$301,MATCH(B32,Pedidos!$A$2:$A$301,0)),"Pedido no encontrado"))</f>
        <v/>
      </c>
      <c r="J32" s="13" t="str">
        <f aca="false">IF(A32="","",IF(F32="Abierta",Control!$C$4-C32,IF(G32="","",G32-C32)))</f>
        <v/>
      </c>
      <c r="K32" s="13" t="str">
        <f aca="false">IF(A32="","",IF(I32="Pedido no encontrado","Pedido no encontrado",IF(AND(F32="Cerrada",G32=""),"Cerrada sin fecha de cierre",IF(AND(G32&lt;&gt;"",G32&lt;C32),"Cierre anterior a la apertura",""))))</f>
        <v/>
      </c>
    </row>
    <row r="33" customFormat="false" ht="15" hidden="false" customHeight="false" outlineLevel="0" collapsed="false">
      <c r="A33" s="13"/>
      <c r="B33" s="13"/>
      <c r="C33" s="28"/>
      <c r="D33" s="13"/>
      <c r="E33" s="13"/>
      <c r="F33" s="13"/>
      <c r="G33" s="28"/>
      <c r="H33" s="13"/>
      <c r="I33" s="13" t="str">
        <f aca="false">IF(A33="","",IFERROR(INDEX(Pedidos!$D$2:$D$301,MATCH(B33,Pedidos!$A$2:$A$301,0)),"Pedido no encontrado"))</f>
        <v/>
      </c>
      <c r="J33" s="13" t="str">
        <f aca="false">IF(A33="","",IF(F33="Abierta",Control!$C$4-C33,IF(G33="","",G33-C33)))</f>
        <v/>
      </c>
      <c r="K33" s="13" t="str">
        <f aca="false">IF(A33="","",IF(I33="Pedido no encontrado","Pedido no encontrado",IF(AND(F33="Cerrada",G33=""),"Cerrada sin fecha de cierre",IF(AND(G33&lt;&gt;"",G33&lt;C33),"Cierre anterior a la apertura",""))))</f>
        <v/>
      </c>
    </row>
    <row r="34" customFormat="false" ht="15" hidden="false" customHeight="false" outlineLevel="0" collapsed="false">
      <c r="A34" s="13"/>
      <c r="B34" s="13"/>
      <c r="C34" s="28"/>
      <c r="D34" s="13"/>
      <c r="E34" s="13"/>
      <c r="F34" s="13"/>
      <c r="G34" s="28"/>
      <c r="H34" s="13"/>
      <c r="I34" s="13" t="str">
        <f aca="false">IF(A34="","",IFERROR(INDEX(Pedidos!$D$2:$D$301,MATCH(B34,Pedidos!$A$2:$A$301,0)),"Pedido no encontrado"))</f>
        <v/>
      </c>
      <c r="J34" s="13" t="str">
        <f aca="false">IF(A34="","",IF(F34="Abierta",Control!$C$4-C34,IF(G34="","",G34-C34)))</f>
        <v/>
      </c>
      <c r="K34" s="13" t="str">
        <f aca="false">IF(A34="","",IF(I34="Pedido no encontrado","Pedido no encontrado",IF(AND(F34="Cerrada",G34=""),"Cerrada sin fecha de cierre",IF(AND(G34&lt;&gt;"",G34&lt;C34),"Cierre anterior a la apertura",""))))</f>
        <v/>
      </c>
    </row>
    <row r="35" customFormat="false" ht="15" hidden="false" customHeight="false" outlineLevel="0" collapsed="false">
      <c r="A35" s="13"/>
      <c r="B35" s="13"/>
      <c r="C35" s="28"/>
      <c r="D35" s="13"/>
      <c r="E35" s="13"/>
      <c r="F35" s="13"/>
      <c r="G35" s="28"/>
      <c r="H35" s="13"/>
      <c r="I35" s="13" t="str">
        <f aca="false">IF(A35="","",IFERROR(INDEX(Pedidos!$D$2:$D$301,MATCH(B35,Pedidos!$A$2:$A$301,0)),"Pedido no encontrado"))</f>
        <v/>
      </c>
      <c r="J35" s="13" t="str">
        <f aca="false">IF(A35="","",IF(F35="Abierta",Control!$C$4-C35,IF(G35="","",G35-C35)))</f>
        <v/>
      </c>
      <c r="K35" s="13" t="str">
        <f aca="false">IF(A35="","",IF(I35="Pedido no encontrado","Pedido no encontrado",IF(AND(F35="Cerrada",G35=""),"Cerrada sin fecha de cierre",IF(AND(G35&lt;&gt;"",G35&lt;C35),"Cierre anterior a la apertura",""))))</f>
        <v/>
      </c>
    </row>
    <row r="36" customFormat="false" ht="15" hidden="false" customHeight="false" outlineLevel="0" collapsed="false">
      <c r="A36" s="13"/>
      <c r="B36" s="13"/>
      <c r="C36" s="28"/>
      <c r="D36" s="13"/>
      <c r="E36" s="13"/>
      <c r="F36" s="13"/>
      <c r="G36" s="28"/>
      <c r="H36" s="13"/>
      <c r="I36" s="13" t="str">
        <f aca="false">IF(A36="","",IFERROR(INDEX(Pedidos!$D$2:$D$301,MATCH(B36,Pedidos!$A$2:$A$301,0)),"Pedido no encontrado"))</f>
        <v/>
      </c>
      <c r="J36" s="13" t="str">
        <f aca="false">IF(A36="","",IF(F36="Abierta",Control!$C$4-C36,IF(G36="","",G36-C36)))</f>
        <v/>
      </c>
      <c r="K36" s="13" t="str">
        <f aca="false">IF(A36="","",IF(I36="Pedido no encontrado","Pedido no encontrado",IF(AND(F36="Cerrada",G36=""),"Cerrada sin fecha de cierre",IF(AND(G36&lt;&gt;"",G36&lt;C36),"Cierre anterior a la apertura",""))))</f>
        <v/>
      </c>
    </row>
    <row r="37" customFormat="false" ht="15" hidden="false" customHeight="false" outlineLevel="0" collapsed="false">
      <c r="A37" s="13"/>
      <c r="B37" s="13"/>
      <c r="C37" s="28"/>
      <c r="D37" s="13"/>
      <c r="E37" s="13"/>
      <c r="F37" s="13"/>
      <c r="G37" s="28"/>
      <c r="H37" s="13"/>
      <c r="I37" s="13" t="str">
        <f aca="false">IF(A37="","",IFERROR(INDEX(Pedidos!$D$2:$D$301,MATCH(B37,Pedidos!$A$2:$A$301,0)),"Pedido no encontrado"))</f>
        <v/>
      </c>
      <c r="J37" s="13" t="str">
        <f aca="false">IF(A37="","",IF(F37="Abierta",Control!$C$4-C37,IF(G37="","",G37-C37)))</f>
        <v/>
      </c>
      <c r="K37" s="13" t="str">
        <f aca="false">IF(A37="","",IF(I37="Pedido no encontrado","Pedido no encontrado",IF(AND(F37="Cerrada",G37=""),"Cerrada sin fecha de cierre",IF(AND(G37&lt;&gt;"",G37&lt;C37),"Cierre anterior a la apertura",""))))</f>
        <v/>
      </c>
    </row>
    <row r="38" customFormat="false" ht="15" hidden="false" customHeight="false" outlineLevel="0" collapsed="false">
      <c r="A38" s="13"/>
      <c r="B38" s="13"/>
      <c r="C38" s="28"/>
      <c r="D38" s="13"/>
      <c r="E38" s="13"/>
      <c r="F38" s="13"/>
      <c r="G38" s="28"/>
      <c r="H38" s="13"/>
      <c r="I38" s="13" t="str">
        <f aca="false">IF(A38="","",IFERROR(INDEX(Pedidos!$D$2:$D$301,MATCH(B38,Pedidos!$A$2:$A$301,0)),"Pedido no encontrado"))</f>
        <v/>
      </c>
      <c r="J38" s="13" t="str">
        <f aca="false">IF(A38="","",IF(F38="Abierta",Control!$C$4-C38,IF(G38="","",G38-C38)))</f>
        <v/>
      </c>
      <c r="K38" s="13" t="str">
        <f aca="false">IF(A38="","",IF(I38="Pedido no encontrado","Pedido no encontrado",IF(AND(F38="Cerrada",G38=""),"Cerrada sin fecha de cierre",IF(AND(G38&lt;&gt;"",G38&lt;C38),"Cierre anterior a la apertura",""))))</f>
        <v/>
      </c>
    </row>
    <row r="39" customFormat="false" ht="15" hidden="false" customHeight="false" outlineLevel="0" collapsed="false">
      <c r="A39" s="13"/>
      <c r="B39" s="13"/>
      <c r="C39" s="28"/>
      <c r="D39" s="13"/>
      <c r="E39" s="13"/>
      <c r="F39" s="13"/>
      <c r="G39" s="28"/>
      <c r="H39" s="13"/>
      <c r="I39" s="13" t="str">
        <f aca="false">IF(A39="","",IFERROR(INDEX(Pedidos!$D$2:$D$301,MATCH(B39,Pedidos!$A$2:$A$301,0)),"Pedido no encontrado"))</f>
        <v/>
      </c>
      <c r="J39" s="13" t="str">
        <f aca="false">IF(A39="","",IF(F39="Abierta",Control!$C$4-C39,IF(G39="","",G39-C39)))</f>
        <v/>
      </c>
      <c r="K39" s="13" t="str">
        <f aca="false">IF(A39="","",IF(I39="Pedido no encontrado","Pedido no encontrado",IF(AND(F39="Cerrada",G39=""),"Cerrada sin fecha de cierre",IF(AND(G39&lt;&gt;"",G39&lt;C39),"Cierre anterior a la apertura",""))))</f>
        <v/>
      </c>
    </row>
    <row r="40" customFormat="false" ht="15" hidden="false" customHeight="false" outlineLevel="0" collapsed="false">
      <c r="A40" s="13"/>
      <c r="B40" s="13"/>
      <c r="C40" s="28"/>
      <c r="D40" s="13"/>
      <c r="E40" s="13"/>
      <c r="F40" s="13"/>
      <c r="G40" s="28"/>
      <c r="H40" s="13"/>
      <c r="I40" s="13" t="str">
        <f aca="false">IF(A40="","",IFERROR(INDEX(Pedidos!$D$2:$D$301,MATCH(B40,Pedidos!$A$2:$A$301,0)),"Pedido no encontrado"))</f>
        <v/>
      </c>
      <c r="J40" s="13" t="str">
        <f aca="false">IF(A40="","",IF(F40="Abierta",Control!$C$4-C40,IF(G40="","",G40-C40)))</f>
        <v/>
      </c>
      <c r="K40" s="13" t="str">
        <f aca="false">IF(A40="","",IF(I40="Pedido no encontrado","Pedido no encontrado",IF(AND(F40="Cerrada",G40=""),"Cerrada sin fecha de cierre",IF(AND(G40&lt;&gt;"",G40&lt;C40),"Cierre anterior a la apertura",""))))</f>
        <v/>
      </c>
    </row>
    <row r="41" customFormat="false" ht="15" hidden="false" customHeight="false" outlineLevel="0" collapsed="false">
      <c r="A41" s="13"/>
      <c r="B41" s="13"/>
      <c r="C41" s="28"/>
      <c r="D41" s="13"/>
      <c r="E41" s="13"/>
      <c r="F41" s="13"/>
      <c r="G41" s="28"/>
      <c r="H41" s="13"/>
      <c r="I41" s="13" t="str">
        <f aca="false">IF(A41="","",IFERROR(INDEX(Pedidos!$D$2:$D$301,MATCH(B41,Pedidos!$A$2:$A$301,0)),"Pedido no encontrado"))</f>
        <v/>
      </c>
      <c r="J41" s="13" t="str">
        <f aca="false">IF(A41="","",IF(F41="Abierta",Control!$C$4-C41,IF(G41="","",G41-C41)))</f>
        <v/>
      </c>
      <c r="K41" s="13" t="str">
        <f aca="false">IF(A41="","",IF(I41="Pedido no encontrado","Pedido no encontrado",IF(AND(F41="Cerrada",G41=""),"Cerrada sin fecha de cierre",IF(AND(G41&lt;&gt;"",G41&lt;C41),"Cierre anterior a la apertura",""))))</f>
        <v/>
      </c>
    </row>
    <row r="42" customFormat="false" ht="15" hidden="false" customHeight="false" outlineLevel="0" collapsed="false">
      <c r="A42" s="13"/>
      <c r="B42" s="13"/>
      <c r="C42" s="28"/>
      <c r="D42" s="13"/>
      <c r="E42" s="13"/>
      <c r="F42" s="13"/>
      <c r="G42" s="28"/>
      <c r="H42" s="13"/>
      <c r="I42" s="13" t="str">
        <f aca="false">IF(A42="","",IFERROR(INDEX(Pedidos!$D$2:$D$301,MATCH(B42,Pedidos!$A$2:$A$301,0)),"Pedido no encontrado"))</f>
        <v/>
      </c>
      <c r="J42" s="13" t="str">
        <f aca="false">IF(A42="","",IF(F42="Abierta",Control!$C$4-C42,IF(G42="","",G42-C42)))</f>
        <v/>
      </c>
      <c r="K42" s="13" t="str">
        <f aca="false">IF(A42="","",IF(I42="Pedido no encontrado","Pedido no encontrado",IF(AND(F42="Cerrada",G42=""),"Cerrada sin fecha de cierre",IF(AND(G42&lt;&gt;"",G42&lt;C42),"Cierre anterior a la apertura",""))))</f>
        <v/>
      </c>
    </row>
    <row r="43" customFormat="false" ht="15" hidden="false" customHeight="false" outlineLevel="0" collapsed="false">
      <c r="A43" s="13"/>
      <c r="B43" s="13"/>
      <c r="C43" s="28"/>
      <c r="D43" s="13"/>
      <c r="E43" s="13"/>
      <c r="F43" s="13"/>
      <c r="G43" s="28"/>
      <c r="H43" s="13"/>
      <c r="I43" s="13" t="str">
        <f aca="false">IF(A43="","",IFERROR(INDEX(Pedidos!$D$2:$D$301,MATCH(B43,Pedidos!$A$2:$A$301,0)),"Pedido no encontrado"))</f>
        <v/>
      </c>
      <c r="J43" s="13" t="str">
        <f aca="false">IF(A43="","",IF(F43="Abierta",Control!$C$4-C43,IF(G43="","",G43-C43)))</f>
        <v/>
      </c>
      <c r="K43" s="13" t="str">
        <f aca="false">IF(A43="","",IF(I43="Pedido no encontrado","Pedido no encontrado",IF(AND(F43="Cerrada",G43=""),"Cerrada sin fecha de cierre",IF(AND(G43&lt;&gt;"",G43&lt;C43),"Cierre anterior a la apertura",""))))</f>
        <v/>
      </c>
    </row>
    <row r="44" customFormat="false" ht="15" hidden="false" customHeight="false" outlineLevel="0" collapsed="false">
      <c r="A44" s="13"/>
      <c r="B44" s="13"/>
      <c r="C44" s="28"/>
      <c r="D44" s="13"/>
      <c r="E44" s="13"/>
      <c r="F44" s="13"/>
      <c r="G44" s="28"/>
      <c r="H44" s="13"/>
      <c r="I44" s="13" t="str">
        <f aca="false">IF(A44="","",IFERROR(INDEX(Pedidos!$D$2:$D$301,MATCH(B44,Pedidos!$A$2:$A$301,0)),"Pedido no encontrado"))</f>
        <v/>
      </c>
      <c r="J44" s="13" t="str">
        <f aca="false">IF(A44="","",IF(F44="Abierta",Control!$C$4-C44,IF(G44="","",G44-C44)))</f>
        <v/>
      </c>
      <c r="K44" s="13" t="str">
        <f aca="false">IF(A44="","",IF(I44="Pedido no encontrado","Pedido no encontrado",IF(AND(F44="Cerrada",G44=""),"Cerrada sin fecha de cierre",IF(AND(G44&lt;&gt;"",G44&lt;C44),"Cierre anterior a la apertura",""))))</f>
        <v/>
      </c>
    </row>
    <row r="45" customFormat="false" ht="15" hidden="false" customHeight="false" outlineLevel="0" collapsed="false">
      <c r="A45" s="13"/>
      <c r="B45" s="13"/>
      <c r="C45" s="28"/>
      <c r="D45" s="13"/>
      <c r="E45" s="13"/>
      <c r="F45" s="13"/>
      <c r="G45" s="28"/>
      <c r="H45" s="13"/>
      <c r="I45" s="13" t="str">
        <f aca="false">IF(A45="","",IFERROR(INDEX(Pedidos!$D$2:$D$301,MATCH(B45,Pedidos!$A$2:$A$301,0)),"Pedido no encontrado"))</f>
        <v/>
      </c>
      <c r="J45" s="13" t="str">
        <f aca="false">IF(A45="","",IF(F45="Abierta",Control!$C$4-C45,IF(G45="","",G45-C45)))</f>
        <v/>
      </c>
      <c r="K45" s="13" t="str">
        <f aca="false">IF(A45="","",IF(I45="Pedido no encontrado","Pedido no encontrado",IF(AND(F45="Cerrada",G45=""),"Cerrada sin fecha de cierre",IF(AND(G45&lt;&gt;"",G45&lt;C45),"Cierre anterior a la apertura",""))))</f>
        <v/>
      </c>
    </row>
    <row r="46" customFormat="false" ht="15" hidden="false" customHeight="false" outlineLevel="0" collapsed="false">
      <c r="A46" s="13"/>
      <c r="B46" s="13"/>
      <c r="C46" s="28"/>
      <c r="D46" s="13"/>
      <c r="E46" s="13"/>
      <c r="F46" s="13"/>
      <c r="G46" s="28"/>
      <c r="H46" s="13"/>
      <c r="I46" s="13" t="str">
        <f aca="false">IF(A46="","",IFERROR(INDEX(Pedidos!$D$2:$D$301,MATCH(B46,Pedidos!$A$2:$A$301,0)),"Pedido no encontrado"))</f>
        <v/>
      </c>
      <c r="J46" s="13" t="str">
        <f aca="false">IF(A46="","",IF(F46="Abierta",Control!$C$4-C46,IF(G46="","",G46-C46)))</f>
        <v/>
      </c>
      <c r="K46" s="13" t="str">
        <f aca="false">IF(A46="","",IF(I46="Pedido no encontrado","Pedido no encontrado",IF(AND(F46="Cerrada",G46=""),"Cerrada sin fecha de cierre",IF(AND(G46&lt;&gt;"",G46&lt;C46),"Cierre anterior a la apertura",""))))</f>
        <v/>
      </c>
    </row>
    <row r="47" customFormat="false" ht="15" hidden="false" customHeight="false" outlineLevel="0" collapsed="false">
      <c r="A47" s="13"/>
      <c r="B47" s="13"/>
      <c r="C47" s="28"/>
      <c r="D47" s="13"/>
      <c r="E47" s="13"/>
      <c r="F47" s="13"/>
      <c r="G47" s="28"/>
      <c r="H47" s="13"/>
      <c r="I47" s="13" t="str">
        <f aca="false">IF(A47="","",IFERROR(INDEX(Pedidos!$D$2:$D$301,MATCH(B47,Pedidos!$A$2:$A$301,0)),"Pedido no encontrado"))</f>
        <v/>
      </c>
      <c r="J47" s="13" t="str">
        <f aca="false">IF(A47="","",IF(F47="Abierta",Control!$C$4-C47,IF(G47="","",G47-C47)))</f>
        <v/>
      </c>
      <c r="K47" s="13" t="str">
        <f aca="false">IF(A47="","",IF(I47="Pedido no encontrado","Pedido no encontrado",IF(AND(F47="Cerrada",G47=""),"Cerrada sin fecha de cierre",IF(AND(G47&lt;&gt;"",G47&lt;C47),"Cierre anterior a la apertura",""))))</f>
        <v/>
      </c>
    </row>
    <row r="48" customFormat="false" ht="15" hidden="false" customHeight="false" outlineLevel="0" collapsed="false">
      <c r="A48" s="13"/>
      <c r="B48" s="13"/>
      <c r="C48" s="28"/>
      <c r="D48" s="13"/>
      <c r="E48" s="13"/>
      <c r="F48" s="13"/>
      <c r="G48" s="28"/>
      <c r="H48" s="13"/>
      <c r="I48" s="13" t="str">
        <f aca="false">IF(A48="","",IFERROR(INDEX(Pedidos!$D$2:$D$301,MATCH(B48,Pedidos!$A$2:$A$301,0)),"Pedido no encontrado"))</f>
        <v/>
      </c>
      <c r="J48" s="13" t="str">
        <f aca="false">IF(A48="","",IF(F48="Abierta",Control!$C$4-C48,IF(G48="","",G48-C48)))</f>
        <v/>
      </c>
      <c r="K48" s="13" t="str">
        <f aca="false">IF(A48="","",IF(I48="Pedido no encontrado","Pedido no encontrado",IF(AND(F48="Cerrada",G48=""),"Cerrada sin fecha de cierre",IF(AND(G48&lt;&gt;"",G48&lt;C48),"Cierre anterior a la apertura",""))))</f>
        <v/>
      </c>
    </row>
    <row r="49" customFormat="false" ht="15" hidden="false" customHeight="false" outlineLevel="0" collapsed="false">
      <c r="A49" s="13"/>
      <c r="B49" s="13"/>
      <c r="C49" s="28"/>
      <c r="D49" s="13"/>
      <c r="E49" s="13"/>
      <c r="F49" s="13"/>
      <c r="G49" s="28"/>
      <c r="H49" s="13"/>
      <c r="I49" s="13" t="str">
        <f aca="false">IF(A49="","",IFERROR(INDEX(Pedidos!$D$2:$D$301,MATCH(B49,Pedidos!$A$2:$A$301,0)),"Pedido no encontrado"))</f>
        <v/>
      </c>
      <c r="J49" s="13" t="str">
        <f aca="false">IF(A49="","",IF(F49="Abierta",Control!$C$4-C49,IF(G49="","",G49-C49)))</f>
        <v/>
      </c>
      <c r="K49" s="13" t="str">
        <f aca="false">IF(A49="","",IF(I49="Pedido no encontrado","Pedido no encontrado",IF(AND(F49="Cerrada",G49=""),"Cerrada sin fecha de cierre",IF(AND(G49&lt;&gt;"",G49&lt;C49),"Cierre anterior a la apertura",""))))</f>
        <v/>
      </c>
    </row>
    <row r="50" customFormat="false" ht="15" hidden="false" customHeight="false" outlineLevel="0" collapsed="false">
      <c r="A50" s="13"/>
      <c r="B50" s="13"/>
      <c r="C50" s="28"/>
      <c r="D50" s="13"/>
      <c r="E50" s="13"/>
      <c r="F50" s="13"/>
      <c r="G50" s="28"/>
      <c r="H50" s="13"/>
      <c r="I50" s="13" t="str">
        <f aca="false">IF(A50="","",IFERROR(INDEX(Pedidos!$D$2:$D$301,MATCH(B50,Pedidos!$A$2:$A$301,0)),"Pedido no encontrado"))</f>
        <v/>
      </c>
      <c r="J50" s="13" t="str">
        <f aca="false">IF(A50="","",IF(F50="Abierta",Control!$C$4-C50,IF(G50="","",G50-C50)))</f>
        <v/>
      </c>
      <c r="K50" s="13" t="str">
        <f aca="false">IF(A50="","",IF(I50="Pedido no encontrado","Pedido no encontrado",IF(AND(F50="Cerrada",G50=""),"Cerrada sin fecha de cierre",IF(AND(G50&lt;&gt;"",G50&lt;C50),"Cierre anterior a la apertura",""))))</f>
        <v/>
      </c>
    </row>
    <row r="51" customFormat="false" ht="15" hidden="false" customHeight="false" outlineLevel="0" collapsed="false">
      <c r="A51" s="13"/>
      <c r="B51" s="13"/>
      <c r="C51" s="28"/>
      <c r="D51" s="13"/>
      <c r="E51" s="13"/>
      <c r="F51" s="13"/>
      <c r="G51" s="28"/>
      <c r="H51" s="13"/>
      <c r="I51" s="13" t="str">
        <f aca="false">IF(A51="","",IFERROR(INDEX(Pedidos!$D$2:$D$301,MATCH(B51,Pedidos!$A$2:$A$301,0)),"Pedido no encontrado"))</f>
        <v/>
      </c>
      <c r="J51" s="13" t="str">
        <f aca="false">IF(A51="","",IF(F51="Abierta",Control!$C$4-C51,IF(G51="","",G51-C51)))</f>
        <v/>
      </c>
      <c r="K51" s="13" t="str">
        <f aca="false">IF(A51="","",IF(I51="Pedido no encontrado","Pedido no encontrado",IF(AND(F51="Cerrada",G51=""),"Cerrada sin fecha de cierre",IF(AND(G51&lt;&gt;"",G51&lt;C51),"Cierre anterior a la apertura",""))))</f>
        <v/>
      </c>
    </row>
    <row r="52" customFormat="false" ht="15" hidden="false" customHeight="false" outlineLevel="0" collapsed="false">
      <c r="A52" s="13"/>
      <c r="B52" s="13"/>
      <c r="C52" s="28"/>
      <c r="D52" s="13"/>
      <c r="E52" s="13"/>
      <c r="F52" s="13"/>
      <c r="G52" s="28"/>
      <c r="H52" s="13"/>
      <c r="I52" s="13" t="str">
        <f aca="false">IF(A52="","",IFERROR(INDEX(Pedidos!$D$2:$D$301,MATCH(B52,Pedidos!$A$2:$A$301,0)),"Pedido no encontrado"))</f>
        <v/>
      </c>
      <c r="J52" s="13" t="str">
        <f aca="false">IF(A52="","",IF(F52="Abierta",Control!$C$4-C52,IF(G52="","",G52-C52)))</f>
        <v/>
      </c>
      <c r="K52" s="13" t="str">
        <f aca="false">IF(A52="","",IF(I52="Pedido no encontrado","Pedido no encontrado",IF(AND(F52="Cerrada",G52=""),"Cerrada sin fecha de cierre",IF(AND(G52&lt;&gt;"",G52&lt;C52),"Cierre anterior a la apertura",""))))</f>
        <v/>
      </c>
    </row>
    <row r="53" customFormat="false" ht="15" hidden="false" customHeight="false" outlineLevel="0" collapsed="false">
      <c r="A53" s="13"/>
      <c r="B53" s="13"/>
      <c r="C53" s="28"/>
      <c r="D53" s="13"/>
      <c r="E53" s="13"/>
      <c r="F53" s="13"/>
      <c r="G53" s="28"/>
      <c r="H53" s="13"/>
      <c r="I53" s="13" t="str">
        <f aca="false">IF(A53="","",IFERROR(INDEX(Pedidos!$D$2:$D$301,MATCH(B53,Pedidos!$A$2:$A$301,0)),"Pedido no encontrado"))</f>
        <v/>
      </c>
      <c r="J53" s="13" t="str">
        <f aca="false">IF(A53="","",IF(F53="Abierta",Control!$C$4-C53,IF(G53="","",G53-C53)))</f>
        <v/>
      </c>
      <c r="K53" s="13" t="str">
        <f aca="false">IF(A53="","",IF(I53="Pedido no encontrado","Pedido no encontrado",IF(AND(F53="Cerrada",G53=""),"Cerrada sin fecha de cierre",IF(AND(G53&lt;&gt;"",G53&lt;C53),"Cierre anterior a la apertura",""))))</f>
        <v/>
      </c>
    </row>
    <row r="54" customFormat="false" ht="15" hidden="false" customHeight="false" outlineLevel="0" collapsed="false">
      <c r="A54" s="13"/>
      <c r="B54" s="13"/>
      <c r="C54" s="28"/>
      <c r="D54" s="13"/>
      <c r="E54" s="13"/>
      <c r="F54" s="13"/>
      <c r="G54" s="28"/>
      <c r="H54" s="13"/>
      <c r="I54" s="13" t="str">
        <f aca="false">IF(A54="","",IFERROR(INDEX(Pedidos!$D$2:$D$301,MATCH(B54,Pedidos!$A$2:$A$301,0)),"Pedido no encontrado"))</f>
        <v/>
      </c>
      <c r="J54" s="13" t="str">
        <f aca="false">IF(A54="","",IF(F54="Abierta",Control!$C$4-C54,IF(G54="","",G54-C54)))</f>
        <v/>
      </c>
      <c r="K54" s="13" t="str">
        <f aca="false">IF(A54="","",IF(I54="Pedido no encontrado","Pedido no encontrado",IF(AND(F54="Cerrada",G54=""),"Cerrada sin fecha de cierre",IF(AND(G54&lt;&gt;"",G54&lt;C54),"Cierre anterior a la apertura",""))))</f>
        <v/>
      </c>
    </row>
    <row r="55" customFormat="false" ht="15" hidden="false" customHeight="false" outlineLevel="0" collapsed="false">
      <c r="A55" s="13"/>
      <c r="B55" s="13"/>
      <c r="C55" s="28"/>
      <c r="D55" s="13"/>
      <c r="E55" s="13"/>
      <c r="F55" s="13"/>
      <c r="G55" s="28"/>
      <c r="H55" s="13"/>
      <c r="I55" s="13" t="str">
        <f aca="false">IF(A55="","",IFERROR(INDEX(Pedidos!$D$2:$D$301,MATCH(B55,Pedidos!$A$2:$A$301,0)),"Pedido no encontrado"))</f>
        <v/>
      </c>
      <c r="J55" s="13" t="str">
        <f aca="false">IF(A55="","",IF(F55="Abierta",Control!$C$4-C55,IF(G55="","",G55-C55)))</f>
        <v/>
      </c>
      <c r="K55" s="13" t="str">
        <f aca="false">IF(A55="","",IF(I55="Pedido no encontrado","Pedido no encontrado",IF(AND(F55="Cerrada",G55=""),"Cerrada sin fecha de cierre",IF(AND(G55&lt;&gt;"",G55&lt;C55),"Cierre anterior a la apertura",""))))</f>
        <v/>
      </c>
    </row>
    <row r="56" customFormat="false" ht="15" hidden="false" customHeight="false" outlineLevel="0" collapsed="false">
      <c r="A56" s="13"/>
      <c r="B56" s="13"/>
      <c r="C56" s="28"/>
      <c r="D56" s="13"/>
      <c r="E56" s="13"/>
      <c r="F56" s="13"/>
      <c r="G56" s="28"/>
      <c r="H56" s="13"/>
      <c r="I56" s="13" t="str">
        <f aca="false">IF(A56="","",IFERROR(INDEX(Pedidos!$D$2:$D$301,MATCH(B56,Pedidos!$A$2:$A$301,0)),"Pedido no encontrado"))</f>
        <v/>
      </c>
      <c r="J56" s="13" t="str">
        <f aca="false">IF(A56="","",IF(F56="Abierta",Control!$C$4-C56,IF(G56="","",G56-C56)))</f>
        <v/>
      </c>
      <c r="K56" s="13" t="str">
        <f aca="false">IF(A56="","",IF(I56="Pedido no encontrado","Pedido no encontrado",IF(AND(F56="Cerrada",G56=""),"Cerrada sin fecha de cierre",IF(AND(G56&lt;&gt;"",G56&lt;C56),"Cierre anterior a la apertura",""))))</f>
        <v/>
      </c>
    </row>
    <row r="57" customFormat="false" ht="15" hidden="false" customHeight="false" outlineLevel="0" collapsed="false">
      <c r="A57" s="13"/>
      <c r="B57" s="13"/>
      <c r="C57" s="28"/>
      <c r="D57" s="13"/>
      <c r="E57" s="13"/>
      <c r="F57" s="13"/>
      <c r="G57" s="28"/>
      <c r="H57" s="13"/>
      <c r="I57" s="13" t="str">
        <f aca="false">IF(A57="","",IFERROR(INDEX(Pedidos!$D$2:$D$301,MATCH(B57,Pedidos!$A$2:$A$301,0)),"Pedido no encontrado"))</f>
        <v/>
      </c>
      <c r="J57" s="13" t="str">
        <f aca="false">IF(A57="","",IF(F57="Abierta",Control!$C$4-C57,IF(G57="","",G57-C57)))</f>
        <v/>
      </c>
      <c r="K57" s="13" t="str">
        <f aca="false">IF(A57="","",IF(I57="Pedido no encontrado","Pedido no encontrado",IF(AND(F57="Cerrada",G57=""),"Cerrada sin fecha de cierre",IF(AND(G57&lt;&gt;"",G57&lt;C57),"Cierre anterior a la apertura",""))))</f>
        <v/>
      </c>
    </row>
    <row r="58" customFormat="false" ht="15" hidden="false" customHeight="false" outlineLevel="0" collapsed="false">
      <c r="A58" s="13"/>
      <c r="B58" s="13"/>
      <c r="C58" s="28"/>
      <c r="D58" s="13"/>
      <c r="E58" s="13"/>
      <c r="F58" s="13"/>
      <c r="G58" s="28"/>
      <c r="H58" s="13"/>
      <c r="I58" s="13" t="str">
        <f aca="false">IF(A58="","",IFERROR(INDEX(Pedidos!$D$2:$D$301,MATCH(B58,Pedidos!$A$2:$A$301,0)),"Pedido no encontrado"))</f>
        <v/>
      </c>
      <c r="J58" s="13" t="str">
        <f aca="false">IF(A58="","",IF(F58="Abierta",Control!$C$4-C58,IF(G58="","",G58-C58)))</f>
        <v/>
      </c>
      <c r="K58" s="13" t="str">
        <f aca="false">IF(A58="","",IF(I58="Pedido no encontrado","Pedido no encontrado",IF(AND(F58="Cerrada",G58=""),"Cerrada sin fecha de cierre",IF(AND(G58&lt;&gt;"",G58&lt;C58),"Cierre anterior a la apertura",""))))</f>
        <v/>
      </c>
    </row>
    <row r="59" customFormat="false" ht="15" hidden="false" customHeight="false" outlineLevel="0" collapsed="false">
      <c r="A59" s="13"/>
      <c r="B59" s="13"/>
      <c r="C59" s="28"/>
      <c r="D59" s="13"/>
      <c r="E59" s="13"/>
      <c r="F59" s="13"/>
      <c r="G59" s="28"/>
      <c r="H59" s="13"/>
      <c r="I59" s="13" t="str">
        <f aca="false">IF(A59="","",IFERROR(INDEX(Pedidos!$D$2:$D$301,MATCH(B59,Pedidos!$A$2:$A$301,0)),"Pedido no encontrado"))</f>
        <v/>
      </c>
      <c r="J59" s="13" t="str">
        <f aca="false">IF(A59="","",IF(F59="Abierta",Control!$C$4-C59,IF(G59="","",G59-C59)))</f>
        <v/>
      </c>
      <c r="K59" s="13" t="str">
        <f aca="false">IF(A59="","",IF(I59="Pedido no encontrado","Pedido no encontrado",IF(AND(F59="Cerrada",G59=""),"Cerrada sin fecha de cierre",IF(AND(G59&lt;&gt;"",G59&lt;C59),"Cierre anterior a la apertura",""))))</f>
        <v/>
      </c>
    </row>
    <row r="60" customFormat="false" ht="15" hidden="false" customHeight="false" outlineLevel="0" collapsed="false">
      <c r="A60" s="13"/>
      <c r="B60" s="13"/>
      <c r="C60" s="28"/>
      <c r="D60" s="13"/>
      <c r="E60" s="13"/>
      <c r="F60" s="13"/>
      <c r="G60" s="28"/>
      <c r="H60" s="13"/>
      <c r="I60" s="13" t="str">
        <f aca="false">IF(A60="","",IFERROR(INDEX(Pedidos!$D$2:$D$301,MATCH(B60,Pedidos!$A$2:$A$301,0)),"Pedido no encontrado"))</f>
        <v/>
      </c>
      <c r="J60" s="13" t="str">
        <f aca="false">IF(A60="","",IF(F60="Abierta",Control!$C$4-C60,IF(G60="","",G60-C60)))</f>
        <v/>
      </c>
      <c r="K60" s="13" t="str">
        <f aca="false">IF(A60="","",IF(I60="Pedido no encontrado","Pedido no encontrado",IF(AND(F60="Cerrada",G60=""),"Cerrada sin fecha de cierre",IF(AND(G60&lt;&gt;"",G60&lt;C60),"Cierre anterior a la apertura",""))))</f>
        <v/>
      </c>
    </row>
    <row r="61" customFormat="false" ht="15" hidden="false" customHeight="false" outlineLevel="0" collapsed="false">
      <c r="A61" s="13"/>
      <c r="B61" s="13"/>
      <c r="C61" s="28"/>
      <c r="D61" s="13"/>
      <c r="E61" s="13"/>
      <c r="F61" s="13"/>
      <c r="G61" s="28"/>
      <c r="H61" s="13"/>
      <c r="I61" s="13" t="str">
        <f aca="false">IF(A61="","",IFERROR(INDEX(Pedidos!$D$2:$D$301,MATCH(B61,Pedidos!$A$2:$A$301,0)),"Pedido no encontrado"))</f>
        <v/>
      </c>
      <c r="J61" s="13" t="str">
        <f aca="false">IF(A61="","",IF(F61="Abierta",Control!$C$4-C61,IF(G61="","",G61-C61)))</f>
        <v/>
      </c>
      <c r="K61" s="13" t="str">
        <f aca="false">IF(A61="","",IF(I61="Pedido no encontrado","Pedido no encontrado",IF(AND(F61="Cerrada",G61=""),"Cerrada sin fecha de cierre",IF(AND(G61&lt;&gt;"",G61&lt;C61),"Cierre anterior a la apertura",""))))</f>
        <v/>
      </c>
    </row>
    <row r="62" customFormat="false" ht="15" hidden="false" customHeight="false" outlineLevel="0" collapsed="false">
      <c r="A62" s="13"/>
      <c r="B62" s="13"/>
      <c r="C62" s="28"/>
      <c r="D62" s="13"/>
      <c r="E62" s="13"/>
      <c r="F62" s="13"/>
      <c r="G62" s="28"/>
      <c r="H62" s="13"/>
      <c r="I62" s="13" t="str">
        <f aca="false">IF(A62="","",IFERROR(INDEX(Pedidos!$D$2:$D$301,MATCH(B62,Pedidos!$A$2:$A$301,0)),"Pedido no encontrado"))</f>
        <v/>
      </c>
      <c r="J62" s="13" t="str">
        <f aca="false">IF(A62="","",IF(F62="Abierta",Control!$C$4-C62,IF(G62="","",G62-C62)))</f>
        <v/>
      </c>
      <c r="K62" s="13" t="str">
        <f aca="false">IF(A62="","",IF(I62="Pedido no encontrado","Pedido no encontrado",IF(AND(F62="Cerrada",G62=""),"Cerrada sin fecha de cierre",IF(AND(G62&lt;&gt;"",G62&lt;C62),"Cierre anterior a la apertura",""))))</f>
        <v/>
      </c>
    </row>
    <row r="63" customFormat="false" ht="15" hidden="false" customHeight="false" outlineLevel="0" collapsed="false">
      <c r="A63" s="13"/>
      <c r="B63" s="13"/>
      <c r="C63" s="28"/>
      <c r="D63" s="13"/>
      <c r="E63" s="13"/>
      <c r="F63" s="13"/>
      <c r="G63" s="28"/>
      <c r="H63" s="13"/>
      <c r="I63" s="13" t="str">
        <f aca="false">IF(A63="","",IFERROR(INDEX(Pedidos!$D$2:$D$301,MATCH(B63,Pedidos!$A$2:$A$301,0)),"Pedido no encontrado"))</f>
        <v/>
      </c>
      <c r="J63" s="13" t="str">
        <f aca="false">IF(A63="","",IF(F63="Abierta",Control!$C$4-C63,IF(G63="","",G63-C63)))</f>
        <v/>
      </c>
      <c r="K63" s="13" t="str">
        <f aca="false">IF(A63="","",IF(I63="Pedido no encontrado","Pedido no encontrado",IF(AND(F63="Cerrada",G63=""),"Cerrada sin fecha de cierre",IF(AND(G63&lt;&gt;"",G63&lt;C63),"Cierre anterior a la apertura",""))))</f>
        <v/>
      </c>
    </row>
    <row r="64" customFormat="false" ht="15" hidden="false" customHeight="false" outlineLevel="0" collapsed="false">
      <c r="A64" s="13"/>
      <c r="B64" s="13"/>
      <c r="C64" s="28"/>
      <c r="D64" s="13"/>
      <c r="E64" s="13"/>
      <c r="F64" s="13"/>
      <c r="G64" s="28"/>
      <c r="H64" s="13"/>
      <c r="I64" s="13" t="str">
        <f aca="false">IF(A64="","",IFERROR(INDEX(Pedidos!$D$2:$D$301,MATCH(B64,Pedidos!$A$2:$A$301,0)),"Pedido no encontrado"))</f>
        <v/>
      </c>
      <c r="J64" s="13" t="str">
        <f aca="false">IF(A64="","",IF(F64="Abierta",Control!$C$4-C64,IF(G64="","",G64-C64)))</f>
        <v/>
      </c>
      <c r="K64" s="13" t="str">
        <f aca="false">IF(A64="","",IF(I64="Pedido no encontrado","Pedido no encontrado",IF(AND(F64="Cerrada",G64=""),"Cerrada sin fecha de cierre",IF(AND(G64&lt;&gt;"",G64&lt;C64),"Cierre anterior a la apertura",""))))</f>
        <v/>
      </c>
    </row>
    <row r="65" customFormat="false" ht="15" hidden="false" customHeight="false" outlineLevel="0" collapsed="false">
      <c r="A65" s="13"/>
      <c r="B65" s="13"/>
      <c r="C65" s="28"/>
      <c r="D65" s="13"/>
      <c r="E65" s="13"/>
      <c r="F65" s="13"/>
      <c r="G65" s="28"/>
      <c r="H65" s="13"/>
      <c r="I65" s="13" t="str">
        <f aca="false">IF(A65="","",IFERROR(INDEX(Pedidos!$D$2:$D$301,MATCH(B65,Pedidos!$A$2:$A$301,0)),"Pedido no encontrado"))</f>
        <v/>
      </c>
      <c r="J65" s="13" t="str">
        <f aca="false">IF(A65="","",IF(F65="Abierta",Control!$C$4-C65,IF(G65="","",G65-C65)))</f>
        <v/>
      </c>
      <c r="K65" s="13" t="str">
        <f aca="false">IF(A65="","",IF(I65="Pedido no encontrado","Pedido no encontrado",IF(AND(F65="Cerrada",G65=""),"Cerrada sin fecha de cierre",IF(AND(G65&lt;&gt;"",G65&lt;C65),"Cierre anterior a la apertura",""))))</f>
        <v/>
      </c>
    </row>
    <row r="66" customFormat="false" ht="15" hidden="false" customHeight="false" outlineLevel="0" collapsed="false">
      <c r="A66" s="13"/>
      <c r="B66" s="13"/>
      <c r="C66" s="28"/>
      <c r="D66" s="13"/>
      <c r="E66" s="13"/>
      <c r="F66" s="13"/>
      <c r="G66" s="28"/>
      <c r="H66" s="13"/>
      <c r="I66" s="13" t="str">
        <f aca="false">IF(A66="","",IFERROR(INDEX(Pedidos!$D$2:$D$301,MATCH(B66,Pedidos!$A$2:$A$301,0)),"Pedido no encontrado"))</f>
        <v/>
      </c>
      <c r="J66" s="13" t="str">
        <f aca="false">IF(A66="","",IF(F66="Abierta",Control!$C$4-C66,IF(G66="","",G66-C66)))</f>
        <v/>
      </c>
      <c r="K66" s="13" t="str">
        <f aca="false">IF(A66="","",IF(I66="Pedido no encontrado","Pedido no encontrado",IF(AND(F66="Cerrada",G66=""),"Cerrada sin fecha de cierre",IF(AND(G66&lt;&gt;"",G66&lt;C66),"Cierre anterior a la apertura",""))))</f>
        <v/>
      </c>
    </row>
    <row r="67" customFormat="false" ht="15" hidden="false" customHeight="false" outlineLevel="0" collapsed="false">
      <c r="A67" s="13"/>
      <c r="B67" s="13"/>
      <c r="C67" s="28"/>
      <c r="D67" s="13"/>
      <c r="E67" s="13"/>
      <c r="F67" s="13"/>
      <c r="G67" s="28"/>
      <c r="H67" s="13"/>
      <c r="I67" s="13" t="str">
        <f aca="false">IF(A67="","",IFERROR(INDEX(Pedidos!$D$2:$D$301,MATCH(B67,Pedidos!$A$2:$A$301,0)),"Pedido no encontrado"))</f>
        <v/>
      </c>
      <c r="J67" s="13" t="str">
        <f aca="false">IF(A67="","",IF(F67="Abierta",Control!$C$4-C67,IF(G67="","",G67-C67)))</f>
        <v/>
      </c>
      <c r="K67" s="13" t="str">
        <f aca="false">IF(A67="","",IF(I67="Pedido no encontrado","Pedido no encontrado",IF(AND(F67="Cerrada",G67=""),"Cerrada sin fecha de cierre",IF(AND(G67&lt;&gt;"",G67&lt;C67),"Cierre anterior a la apertura",""))))</f>
        <v/>
      </c>
    </row>
    <row r="68" customFormat="false" ht="15" hidden="false" customHeight="false" outlineLevel="0" collapsed="false">
      <c r="A68" s="13"/>
      <c r="B68" s="13"/>
      <c r="C68" s="28"/>
      <c r="D68" s="13"/>
      <c r="E68" s="13"/>
      <c r="F68" s="13"/>
      <c r="G68" s="28"/>
      <c r="H68" s="13"/>
      <c r="I68" s="13" t="str">
        <f aca="false">IF(A68="","",IFERROR(INDEX(Pedidos!$D$2:$D$301,MATCH(B68,Pedidos!$A$2:$A$301,0)),"Pedido no encontrado"))</f>
        <v/>
      </c>
      <c r="J68" s="13" t="str">
        <f aca="false">IF(A68="","",IF(F68="Abierta",Control!$C$4-C68,IF(G68="","",G68-C68)))</f>
        <v/>
      </c>
      <c r="K68" s="13" t="str">
        <f aca="false">IF(A68="","",IF(I68="Pedido no encontrado","Pedido no encontrado",IF(AND(F68="Cerrada",G68=""),"Cerrada sin fecha de cierre",IF(AND(G68&lt;&gt;"",G68&lt;C68),"Cierre anterior a la apertura",""))))</f>
        <v/>
      </c>
    </row>
    <row r="69" customFormat="false" ht="15" hidden="false" customHeight="false" outlineLevel="0" collapsed="false">
      <c r="A69" s="13"/>
      <c r="B69" s="13"/>
      <c r="C69" s="28"/>
      <c r="D69" s="13"/>
      <c r="E69" s="13"/>
      <c r="F69" s="13"/>
      <c r="G69" s="28"/>
      <c r="H69" s="13"/>
      <c r="I69" s="13" t="str">
        <f aca="false">IF(A69="","",IFERROR(INDEX(Pedidos!$D$2:$D$301,MATCH(B69,Pedidos!$A$2:$A$301,0)),"Pedido no encontrado"))</f>
        <v/>
      </c>
      <c r="J69" s="13" t="str">
        <f aca="false">IF(A69="","",IF(F69="Abierta",Control!$C$4-C69,IF(G69="","",G69-C69)))</f>
        <v/>
      </c>
      <c r="K69" s="13" t="str">
        <f aca="false">IF(A69="","",IF(I69="Pedido no encontrado","Pedido no encontrado",IF(AND(F69="Cerrada",G69=""),"Cerrada sin fecha de cierre",IF(AND(G69&lt;&gt;"",G69&lt;C69),"Cierre anterior a la apertura",""))))</f>
        <v/>
      </c>
    </row>
    <row r="70" customFormat="false" ht="15" hidden="false" customHeight="false" outlineLevel="0" collapsed="false">
      <c r="A70" s="13"/>
      <c r="B70" s="13"/>
      <c r="C70" s="28"/>
      <c r="D70" s="13"/>
      <c r="E70" s="13"/>
      <c r="F70" s="13"/>
      <c r="G70" s="28"/>
      <c r="H70" s="13"/>
      <c r="I70" s="13" t="str">
        <f aca="false">IF(A70="","",IFERROR(INDEX(Pedidos!$D$2:$D$301,MATCH(B70,Pedidos!$A$2:$A$301,0)),"Pedido no encontrado"))</f>
        <v/>
      </c>
      <c r="J70" s="13" t="str">
        <f aca="false">IF(A70="","",IF(F70="Abierta",Control!$C$4-C70,IF(G70="","",G70-C70)))</f>
        <v/>
      </c>
      <c r="K70" s="13" t="str">
        <f aca="false">IF(A70="","",IF(I70="Pedido no encontrado","Pedido no encontrado",IF(AND(F70="Cerrada",G70=""),"Cerrada sin fecha de cierre",IF(AND(G70&lt;&gt;"",G70&lt;C70),"Cierre anterior a la apertura",""))))</f>
        <v/>
      </c>
    </row>
    <row r="71" customFormat="false" ht="15" hidden="false" customHeight="false" outlineLevel="0" collapsed="false">
      <c r="A71" s="13"/>
      <c r="B71" s="13"/>
      <c r="C71" s="28"/>
      <c r="D71" s="13"/>
      <c r="E71" s="13"/>
      <c r="F71" s="13"/>
      <c r="G71" s="28"/>
      <c r="H71" s="13"/>
      <c r="I71" s="13" t="str">
        <f aca="false">IF(A71="","",IFERROR(INDEX(Pedidos!$D$2:$D$301,MATCH(B71,Pedidos!$A$2:$A$301,0)),"Pedido no encontrado"))</f>
        <v/>
      </c>
      <c r="J71" s="13" t="str">
        <f aca="false">IF(A71="","",IF(F71="Abierta",Control!$C$4-C71,IF(G71="","",G71-C71)))</f>
        <v/>
      </c>
      <c r="K71" s="13" t="str">
        <f aca="false">IF(A71="","",IF(I71="Pedido no encontrado","Pedido no encontrado",IF(AND(F71="Cerrada",G71=""),"Cerrada sin fecha de cierre",IF(AND(G71&lt;&gt;"",G71&lt;C71),"Cierre anterior a la apertura",""))))</f>
        <v/>
      </c>
    </row>
    <row r="72" customFormat="false" ht="15" hidden="false" customHeight="false" outlineLevel="0" collapsed="false">
      <c r="A72" s="13"/>
      <c r="B72" s="13"/>
      <c r="C72" s="28"/>
      <c r="D72" s="13"/>
      <c r="E72" s="13"/>
      <c r="F72" s="13"/>
      <c r="G72" s="28"/>
      <c r="H72" s="13"/>
      <c r="I72" s="13" t="str">
        <f aca="false">IF(A72="","",IFERROR(INDEX(Pedidos!$D$2:$D$301,MATCH(B72,Pedidos!$A$2:$A$301,0)),"Pedido no encontrado"))</f>
        <v/>
      </c>
      <c r="J72" s="13" t="str">
        <f aca="false">IF(A72="","",IF(F72="Abierta",Control!$C$4-C72,IF(G72="","",G72-C72)))</f>
        <v/>
      </c>
      <c r="K72" s="13" t="str">
        <f aca="false">IF(A72="","",IF(I72="Pedido no encontrado","Pedido no encontrado",IF(AND(F72="Cerrada",G72=""),"Cerrada sin fecha de cierre",IF(AND(G72&lt;&gt;"",G72&lt;C72),"Cierre anterior a la apertura",""))))</f>
        <v/>
      </c>
    </row>
    <row r="73" customFormat="false" ht="15" hidden="false" customHeight="false" outlineLevel="0" collapsed="false">
      <c r="A73" s="13"/>
      <c r="B73" s="13"/>
      <c r="C73" s="28"/>
      <c r="D73" s="13"/>
      <c r="E73" s="13"/>
      <c r="F73" s="13"/>
      <c r="G73" s="28"/>
      <c r="H73" s="13"/>
      <c r="I73" s="13" t="str">
        <f aca="false">IF(A73="","",IFERROR(INDEX(Pedidos!$D$2:$D$301,MATCH(B73,Pedidos!$A$2:$A$301,0)),"Pedido no encontrado"))</f>
        <v/>
      </c>
      <c r="J73" s="13" t="str">
        <f aca="false">IF(A73="","",IF(F73="Abierta",Control!$C$4-C73,IF(G73="","",G73-C73)))</f>
        <v/>
      </c>
      <c r="K73" s="13" t="str">
        <f aca="false">IF(A73="","",IF(I73="Pedido no encontrado","Pedido no encontrado",IF(AND(F73="Cerrada",G73=""),"Cerrada sin fecha de cierre",IF(AND(G73&lt;&gt;"",G73&lt;C73),"Cierre anterior a la apertura",""))))</f>
        <v/>
      </c>
    </row>
    <row r="74" customFormat="false" ht="15" hidden="false" customHeight="false" outlineLevel="0" collapsed="false">
      <c r="A74" s="13"/>
      <c r="B74" s="13"/>
      <c r="C74" s="28"/>
      <c r="D74" s="13"/>
      <c r="E74" s="13"/>
      <c r="F74" s="13"/>
      <c r="G74" s="28"/>
      <c r="H74" s="13"/>
      <c r="I74" s="13" t="str">
        <f aca="false">IF(A74="","",IFERROR(INDEX(Pedidos!$D$2:$D$301,MATCH(B74,Pedidos!$A$2:$A$301,0)),"Pedido no encontrado"))</f>
        <v/>
      </c>
      <c r="J74" s="13" t="str">
        <f aca="false">IF(A74="","",IF(F74="Abierta",Control!$C$4-C74,IF(G74="","",G74-C74)))</f>
        <v/>
      </c>
      <c r="K74" s="13" t="str">
        <f aca="false">IF(A74="","",IF(I74="Pedido no encontrado","Pedido no encontrado",IF(AND(F74="Cerrada",G74=""),"Cerrada sin fecha de cierre",IF(AND(G74&lt;&gt;"",G74&lt;C74),"Cierre anterior a la apertura",""))))</f>
        <v/>
      </c>
    </row>
    <row r="75" customFormat="false" ht="15" hidden="false" customHeight="false" outlineLevel="0" collapsed="false">
      <c r="A75" s="13"/>
      <c r="B75" s="13"/>
      <c r="C75" s="28"/>
      <c r="D75" s="13"/>
      <c r="E75" s="13"/>
      <c r="F75" s="13"/>
      <c r="G75" s="28"/>
      <c r="H75" s="13"/>
      <c r="I75" s="13" t="str">
        <f aca="false">IF(A75="","",IFERROR(INDEX(Pedidos!$D$2:$D$301,MATCH(B75,Pedidos!$A$2:$A$301,0)),"Pedido no encontrado"))</f>
        <v/>
      </c>
      <c r="J75" s="13" t="str">
        <f aca="false">IF(A75="","",IF(F75="Abierta",Control!$C$4-C75,IF(G75="","",G75-C75)))</f>
        <v/>
      </c>
      <c r="K75" s="13" t="str">
        <f aca="false">IF(A75="","",IF(I75="Pedido no encontrado","Pedido no encontrado",IF(AND(F75="Cerrada",G75=""),"Cerrada sin fecha de cierre",IF(AND(G75&lt;&gt;"",G75&lt;C75),"Cierre anterior a la apertura",""))))</f>
        <v/>
      </c>
    </row>
    <row r="76" customFormat="false" ht="15" hidden="false" customHeight="false" outlineLevel="0" collapsed="false">
      <c r="A76" s="13"/>
      <c r="B76" s="13"/>
      <c r="C76" s="28"/>
      <c r="D76" s="13"/>
      <c r="E76" s="13"/>
      <c r="F76" s="13"/>
      <c r="G76" s="28"/>
      <c r="H76" s="13"/>
      <c r="I76" s="13" t="str">
        <f aca="false">IF(A76="","",IFERROR(INDEX(Pedidos!$D$2:$D$301,MATCH(B76,Pedidos!$A$2:$A$301,0)),"Pedido no encontrado"))</f>
        <v/>
      </c>
      <c r="J76" s="13" t="str">
        <f aca="false">IF(A76="","",IF(F76="Abierta",Control!$C$4-C76,IF(G76="","",G76-C76)))</f>
        <v/>
      </c>
      <c r="K76" s="13" t="str">
        <f aca="false">IF(A76="","",IF(I76="Pedido no encontrado","Pedido no encontrado",IF(AND(F76="Cerrada",G76=""),"Cerrada sin fecha de cierre",IF(AND(G76&lt;&gt;"",G76&lt;C76),"Cierre anterior a la apertura",""))))</f>
        <v/>
      </c>
    </row>
    <row r="77" customFormat="false" ht="15" hidden="false" customHeight="false" outlineLevel="0" collapsed="false">
      <c r="A77" s="13"/>
      <c r="B77" s="13"/>
      <c r="C77" s="28"/>
      <c r="D77" s="13"/>
      <c r="E77" s="13"/>
      <c r="F77" s="13"/>
      <c r="G77" s="28"/>
      <c r="H77" s="13"/>
      <c r="I77" s="13" t="str">
        <f aca="false">IF(A77="","",IFERROR(INDEX(Pedidos!$D$2:$D$301,MATCH(B77,Pedidos!$A$2:$A$301,0)),"Pedido no encontrado"))</f>
        <v/>
      </c>
      <c r="J77" s="13" t="str">
        <f aca="false">IF(A77="","",IF(F77="Abierta",Control!$C$4-C77,IF(G77="","",G77-C77)))</f>
        <v/>
      </c>
      <c r="K77" s="13" t="str">
        <f aca="false">IF(A77="","",IF(I77="Pedido no encontrado","Pedido no encontrado",IF(AND(F77="Cerrada",G77=""),"Cerrada sin fecha de cierre",IF(AND(G77&lt;&gt;"",G77&lt;C77),"Cierre anterior a la apertura",""))))</f>
        <v/>
      </c>
    </row>
    <row r="78" customFormat="false" ht="15" hidden="false" customHeight="false" outlineLevel="0" collapsed="false">
      <c r="A78" s="13"/>
      <c r="B78" s="13"/>
      <c r="C78" s="28"/>
      <c r="D78" s="13"/>
      <c r="E78" s="13"/>
      <c r="F78" s="13"/>
      <c r="G78" s="28"/>
      <c r="H78" s="13"/>
      <c r="I78" s="13" t="str">
        <f aca="false">IF(A78="","",IFERROR(INDEX(Pedidos!$D$2:$D$301,MATCH(B78,Pedidos!$A$2:$A$301,0)),"Pedido no encontrado"))</f>
        <v/>
      </c>
      <c r="J78" s="13" t="str">
        <f aca="false">IF(A78="","",IF(F78="Abierta",Control!$C$4-C78,IF(G78="","",G78-C78)))</f>
        <v/>
      </c>
      <c r="K78" s="13" t="str">
        <f aca="false">IF(A78="","",IF(I78="Pedido no encontrado","Pedido no encontrado",IF(AND(F78="Cerrada",G78=""),"Cerrada sin fecha de cierre",IF(AND(G78&lt;&gt;"",G78&lt;C78),"Cierre anterior a la apertura",""))))</f>
        <v/>
      </c>
    </row>
    <row r="79" customFormat="false" ht="15" hidden="false" customHeight="false" outlineLevel="0" collapsed="false">
      <c r="A79" s="13"/>
      <c r="B79" s="13"/>
      <c r="C79" s="28"/>
      <c r="D79" s="13"/>
      <c r="E79" s="13"/>
      <c r="F79" s="13"/>
      <c r="G79" s="28"/>
      <c r="H79" s="13"/>
      <c r="I79" s="13" t="str">
        <f aca="false">IF(A79="","",IFERROR(INDEX(Pedidos!$D$2:$D$301,MATCH(B79,Pedidos!$A$2:$A$301,0)),"Pedido no encontrado"))</f>
        <v/>
      </c>
      <c r="J79" s="13" t="str">
        <f aca="false">IF(A79="","",IF(F79="Abierta",Control!$C$4-C79,IF(G79="","",G79-C79)))</f>
        <v/>
      </c>
      <c r="K79" s="13" t="str">
        <f aca="false">IF(A79="","",IF(I79="Pedido no encontrado","Pedido no encontrado",IF(AND(F79="Cerrada",G79=""),"Cerrada sin fecha de cierre",IF(AND(G79&lt;&gt;"",G79&lt;C79),"Cierre anterior a la apertura",""))))</f>
        <v/>
      </c>
    </row>
    <row r="80" customFormat="false" ht="15" hidden="false" customHeight="false" outlineLevel="0" collapsed="false">
      <c r="A80" s="13"/>
      <c r="B80" s="13"/>
      <c r="C80" s="28"/>
      <c r="D80" s="13"/>
      <c r="E80" s="13"/>
      <c r="F80" s="13"/>
      <c r="G80" s="28"/>
      <c r="H80" s="13"/>
      <c r="I80" s="13" t="str">
        <f aca="false">IF(A80="","",IFERROR(INDEX(Pedidos!$D$2:$D$301,MATCH(B80,Pedidos!$A$2:$A$301,0)),"Pedido no encontrado"))</f>
        <v/>
      </c>
      <c r="J80" s="13" t="str">
        <f aca="false">IF(A80="","",IF(F80="Abierta",Control!$C$4-C80,IF(G80="","",G80-C80)))</f>
        <v/>
      </c>
      <c r="K80" s="13" t="str">
        <f aca="false">IF(A80="","",IF(I80="Pedido no encontrado","Pedido no encontrado",IF(AND(F80="Cerrada",G80=""),"Cerrada sin fecha de cierre",IF(AND(G80&lt;&gt;"",G80&lt;C80),"Cierre anterior a la apertura",""))))</f>
        <v/>
      </c>
    </row>
    <row r="81" customFormat="false" ht="15" hidden="false" customHeight="false" outlineLevel="0" collapsed="false">
      <c r="A81" s="13"/>
      <c r="B81" s="13"/>
      <c r="C81" s="28"/>
      <c r="D81" s="13"/>
      <c r="E81" s="13"/>
      <c r="F81" s="13"/>
      <c r="G81" s="28"/>
      <c r="H81" s="13"/>
      <c r="I81" s="13" t="str">
        <f aca="false">IF(A81="","",IFERROR(INDEX(Pedidos!$D$2:$D$301,MATCH(B81,Pedidos!$A$2:$A$301,0)),"Pedido no encontrado"))</f>
        <v/>
      </c>
      <c r="J81" s="13" t="str">
        <f aca="false">IF(A81="","",IF(F81="Abierta",Control!$C$4-C81,IF(G81="","",G81-C81)))</f>
        <v/>
      </c>
      <c r="K81" s="13" t="str">
        <f aca="false">IF(A81="","",IF(I81="Pedido no encontrado","Pedido no encontrado",IF(AND(F81="Cerrada",G81=""),"Cerrada sin fecha de cierre",IF(AND(G81&lt;&gt;"",G81&lt;C81),"Cierre anterior a la apertura",""))))</f>
        <v/>
      </c>
    </row>
    <row r="82" customFormat="false" ht="15" hidden="false" customHeight="false" outlineLevel="0" collapsed="false">
      <c r="A82" s="13"/>
      <c r="B82" s="13"/>
      <c r="C82" s="28"/>
      <c r="D82" s="13"/>
      <c r="E82" s="13"/>
      <c r="F82" s="13"/>
      <c r="G82" s="28"/>
      <c r="H82" s="13"/>
      <c r="I82" s="13" t="str">
        <f aca="false">IF(A82="","",IFERROR(INDEX(Pedidos!$D$2:$D$301,MATCH(B82,Pedidos!$A$2:$A$301,0)),"Pedido no encontrado"))</f>
        <v/>
      </c>
      <c r="J82" s="13" t="str">
        <f aca="false">IF(A82="","",IF(F82="Abierta",Control!$C$4-C82,IF(G82="","",G82-C82)))</f>
        <v/>
      </c>
      <c r="K82" s="13" t="str">
        <f aca="false">IF(A82="","",IF(I82="Pedido no encontrado","Pedido no encontrado",IF(AND(F82="Cerrada",G82=""),"Cerrada sin fecha de cierre",IF(AND(G82&lt;&gt;"",G82&lt;C82),"Cierre anterior a la apertura",""))))</f>
        <v/>
      </c>
    </row>
    <row r="83" customFormat="false" ht="15" hidden="false" customHeight="false" outlineLevel="0" collapsed="false">
      <c r="A83" s="13"/>
      <c r="B83" s="13"/>
      <c r="C83" s="28"/>
      <c r="D83" s="13"/>
      <c r="E83" s="13"/>
      <c r="F83" s="13"/>
      <c r="G83" s="28"/>
      <c r="H83" s="13"/>
      <c r="I83" s="13" t="str">
        <f aca="false">IF(A83="","",IFERROR(INDEX(Pedidos!$D$2:$D$301,MATCH(B83,Pedidos!$A$2:$A$301,0)),"Pedido no encontrado"))</f>
        <v/>
      </c>
      <c r="J83" s="13" t="str">
        <f aca="false">IF(A83="","",IF(F83="Abierta",Control!$C$4-C83,IF(G83="","",G83-C83)))</f>
        <v/>
      </c>
      <c r="K83" s="13" t="str">
        <f aca="false">IF(A83="","",IF(I83="Pedido no encontrado","Pedido no encontrado",IF(AND(F83="Cerrada",G83=""),"Cerrada sin fecha de cierre",IF(AND(G83&lt;&gt;"",G83&lt;C83),"Cierre anterior a la apertura",""))))</f>
        <v/>
      </c>
    </row>
    <row r="84" customFormat="false" ht="15" hidden="false" customHeight="false" outlineLevel="0" collapsed="false">
      <c r="A84" s="13"/>
      <c r="B84" s="13"/>
      <c r="C84" s="28"/>
      <c r="D84" s="13"/>
      <c r="E84" s="13"/>
      <c r="F84" s="13"/>
      <c r="G84" s="28"/>
      <c r="H84" s="13"/>
      <c r="I84" s="13" t="str">
        <f aca="false">IF(A84="","",IFERROR(INDEX(Pedidos!$D$2:$D$301,MATCH(B84,Pedidos!$A$2:$A$301,0)),"Pedido no encontrado"))</f>
        <v/>
      </c>
      <c r="J84" s="13" t="str">
        <f aca="false">IF(A84="","",IF(F84="Abierta",Control!$C$4-C84,IF(G84="","",G84-C84)))</f>
        <v/>
      </c>
      <c r="K84" s="13" t="str">
        <f aca="false">IF(A84="","",IF(I84="Pedido no encontrado","Pedido no encontrado",IF(AND(F84="Cerrada",G84=""),"Cerrada sin fecha de cierre",IF(AND(G84&lt;&gt;"",G84&lt;C84),"Cierre anterior a la apertura",""))))</f>
        <v/>
      </c>
    </row>
    <row r="85" customFormat="false" ht="15" hidden="false" customHeight="false" outlineLevel="0" collapsed="false">
      <c r="A85" s="13"/>
      <c r="B85" s="13"/>
      <c r="C85" s="28"/>
      <c r="D85" s="13"/>
      <c r="E85" s="13"/>
      <c r="F85" s="13"/>
      <c r="G85" s="28"/>
      <c r="H85" s="13"/>
      <c r="I85" s="13" t="str">
        <f aca="false">IF(A85="","",IFERROR(INDEX(Pedidos!$D$2:$D$301,MATCH(B85,Pedidos!$A$2:$A$301,0)),"Pedido no encontrado"))</f>
        <v/>
      </c>
      <c r="J85" s="13" t="str">
        <f aca="false">IF(A85="","",IF(F85="Abierta",Control!$C$4-C85,IF(G85="","",G85-C85)))</f>
        <v/>
      </c>
      <c r="K85" s="13" t="str">
        <f aca="false">IF(A85="","",IF(I85="Pedido no encontrado","Pedido no encontrado",IF(AND(F85="Cerrada",G85=""),"Cerrada sin fecha de cierre",IF(AND(G85&lt;&gt;"",G85&lt;C85),"Cierre anterior a la apertura",""))))</f>
        <v/>
      </c>
    </row>
    <row r="86" customFormat="false" ht="15" hidden="false" customHeight="false" outlineLevel="0" collapsed="false">
      <c r="A86" s="13"/>
      <c r="B86" s="13"/>
      <c r="C86" s="28"/>
      <c r="D86" s="13"/>
      <c r="E86" s="13"/>
      <c r="F86" s="13"/>
      <c r="G86" s="28"/>
      <c r="H86" s="13"/>
      <c r="I86" s="13" t="str">
        <f aca="false">IF(A86="","",IFERROR(INDEX(Pedidos!$D$2:$D$301,MATCH(B86,Pedidos!$A$2:$A$301,0)),"Pedido no encontrado"))</f>
        <v/>
      </c>
      <c r="J86" s="13" t="str">
        <f aca="false">IF(A86="","",IF(F86="Abierta",Control!$C$4-C86,IF(G86="","",G86-C86)))</f>
        <v/>
      </c>
      <c r="K86" s="13" t="str">
        <f aca="false">IF(A86="","",IF(I86="Pedido no encontrado","Pedido no encontrado",IF(AND(F86="Cerrada",G86=""),"Cerrada sin fecha de cierre",IF(AND(G86&lt;&gt;"",G86&lt;C86),"Cierre anterior a la apertura",""))))</f>
        <v/>
      </c>
    </row>
    <row r="87" customFormat="false" ht="15" hidden="false" customHeight="false" outlineLevel="0" collapsed="false">
      <c r="A87" s="13"/>
      <c r="B87" s="13"/>
      <c r="C87" s="28"/>
      <c r="D87" s="13"/>
      <c r="E87" s="13"/>
      <c r="F87" s="13"/>
      <c r="G87" s="28"/>
      <c r="H87" s="13"/>
      <c r="I87" s="13" t="str">
        <f aca="false">IF(A87="","",IFERROR(INDEX(Pedidos!$D$2:$D$301,MATCH(B87,Pedidos!$A$2:$A$301,0)),"Pedido no encontrado"))</f>
        <v/>
      </c>
      <c r="J87" s="13" t="str">
        <f aca="false">IF(A87="","",IF(F87="Abierta",Control!$C$4-C87,IF(G87="","",G87-C87)))</f>
        <v/>
      </c>
      <c r="K87" s="13" t="str">
        <f aca="false">IF(A87="","",IF(I87="Pedido no encontrado","Pedido no encontrado",IF(AND(F87="Cerrada",G87=""),"Cerrada sin fecha de cierre",IF(AND(G87&lt;&gt;"",G87&lt;C87),"Cierre anterior a la apertura",""))))</f>
        <v/>
      </c>
    </row>
    <row r="88" customFormat="false" ht="15" hidden="false" customHeight="false" outlineLevel="0" collapsed="false">
      <c r="A88" s="13"/>
      <c r="B88" s="13"/>
      <c r="C88" s="28"/>
      <c r="D88" s="13"/>
      <c r="E88" s="13"/>
      <c r="F88" s="13"/>
      <c r="G88" s="28"/>
      <c r="H88" s="13"/>
      <c r="I88" s="13" t="str">
        <f aca="false">IF(A88="","",IFERROR(INDEX(Pedidos!$D$2:$D$301,MATCH(B88,Pedidos!$A$2:$A$301,0)),"Pedido no encontrado"))</f>
        <v/>
      </c>
      <c r="J88" s="13" t="str">
        <f aca="false">IF(A88="","",IF(F88="Abierta",Control!$C$4-C88,IF(G88="","",G88-C88)))</f>
        <v/>
      </c>
      <c r="K88" s="13" t="str">
        <f aca="false">IF(A88="","",IF(I88="Pedido no encontrado","Pedido no encontrado",IF(AND(F88="Cerrada",G88=""),"Cerrada sin fecha de cierre",IF(AND(G88&lt;&gt;"",G88&lt;C88),"Cierre anterior a la apertura",""))))</f>
        <v/>
      </c>
    </row>
    <row r="89" customFormat="false" ht="15" hidden="false" customHeight="false" outlineLevel="0" collapsed="false">
      <c r="A89" s="13"/>
      <c r="B89" s="13"/>
      <c r="C89" s="28"/>
      <c r="D89" s="13"/>
      <c r="E89" s="13"/>
      <c r="F89" s="13"/>
      <c r="G89" s="28"/>
      <c r="H89" s="13"/>
      <c r="I89" s="13" t="str">
        <f aca="false">IF(A89="","",IFERROR(INDEX(Pedidos!$D$2:$D$301,MATCH(B89,Pedidos!$A$2:$A$301,0)),"Pedido no encontrado"))</f>
        <v/>
      </c>
      <c r="J89" s="13" t="str">
        <f aca="false">IF(A89="","",IF(F89="Abierta",Control!$C$4-C89,IF(G89="","",G89-C89)))</f>
        <v/>
      </c>
      <c r="K89" s="13" t="str">
        <f aca="false">IF(A89="","",IF(I89="Pedido no encontrado","Pedido no encontrado",IF(AND(F89="Cerrada",G89=""),"Cerrada sin fecha de cierre",IF(AND(G89&lt;&gt;"",G89&lt;C89),"Cierre anterior a la apertura",""))))</f>
        <v/>
      </c>
    </row>
    <row r="90" customFormat="false" ht="15" hidden="false" customHeight="false" outlineLevel="0" collapsed="false">
      <c r="A90" s="13"/>
      <c r="B90" s="13"/>
      <c r="C90" s="28"/>
      <c r="D90" s="13"/>
      <c r="E90" s="13"/>
      <c r="F90" s="13"/>
      <c r="G90" s="28"/>
      <c r="H90" s="13"/>
      <c r="I90" s="13" t="str">
        <f aca="false">IF(A90="","",IFERROR(INDEX(Pedidos!$D$2:$D$301,MATCH(B90,Pedidos!$A$2:$A$301,0)),"Pedido no encontrado"))</f>
        <v/>
      </c>
      <c r="J90" s="13" t="str">
        <f aca="false">IF(A90="","",IF(F90="Abierta",Control!$C$4-C90,IF(G90="","",G90-C90)))</f>
        <v/>
      </c>
      <c r="K90" s="13" t="str">
        <f aca="false">IF(A90="","",IF(I90="Pedido no encontrado","Pedido no encontrado",IF(AND(F90="Cerrada",G90=""),"Cerrada sin fecha de cierre",IF(AND(G90&lt;&gt;"",G90&lt;C90),"Cierre anterior a la apertura",""))))</f>
        <v/>
      </c>
    </row>
    <row r="91" customFormat="false" ht="15" hidden="false" customHeight="false" outlineLevel="0" collapsed="false">
      <c r="A91" s="13"/>
      <c r="B91" s="13"/>
      <c r="C91" s="28"/>
      <c r="D91" s="13"/>
      <c r="E91" s="13"/>
      <c r="F91" s="13"/>
      <c r="G91" s="28"/>
      <c r="H91" s="13"/>
      <c r="I91" s="13" t="str">
        <f aca="false">IF(A91="","",IFERROR(INDEX(Pedidos!$D$2:$D$301,MATCH(B91,Pedidos!$A$2:$A$301,0)),"Pedido no encontrado"))</f>
        <v/>
      </c>
      <c r="J91" s="13" t="str">
        <f aca="false">IF(A91="","",IF(F91="Abierta",Control!$C$4-C91,IF(G91="","",G91-C91)))</f>
        <v/>
      </c>
      <c r="K91" s="13" t="str">
        <f aca="false">IF(A91="","",IF(I91="Pedido no encontrado","Pedido no encontrado",IF(AND(F91="Cerrada",G91=""),"Cerrada sin fecha de cierre",IF(AND(G91&lt;&gt;"",G91&lt;C91),"Cierre anterior a la apertura",""))))</f>
        <v/>
      </c>
    </row>
    <row r="92" customFormat="false" ht="15" hidden="false" customHeight="false" outlineLevel="0" collapsed="false">
      <c r="A92" s="13"/>
      <c r="B92" s="13"/>
      <c r="C92" s="28"/>
      <c r="D92" s="13"/>
      <c r="E92" s="13"/>
      <c r="F92" s="13"/>
      <c r="G92" s="28"/>
      <c r="H92" s="13"/>
      <c r="I92" s="13" t="str">
        <f aca="false">IF(A92="","",IFERROR(INDEX(Pedidos!$D$2:$D$301,MATCH(B92,Pedidos!$A$2:$A$301,0)),"Pedido no encontrado"))</f>
        <v/>
      </c>
      <c r="J92" s="13" t="str">
        <f aca="false">IF(A92="","",IF(F92="Abierta",Control!$C$4-C92,IF(G92="","",G92-C92)))</f>
        <v/>
      </c>
      <c r="K92" s="13" t="str">
        <f aca="false">IF(A92="","",IF(I92="Pedido no encontrado","Pedido no encontrado",IF(AND(F92="Cerrada",G92=""),"Cerrada sin fecha de cierre",IF(AND(G92&lt;&gt;"",G92&lt;C92),"Cierre anterior a la apertura",""))))</f>
        <v/>
      </c>
    </row>
    <row r="93" customFormat="false" ht="15" hidden="false" customHeight="false" outlineLevel="0" collapsed="false">
      <c r="A93" s="13"/>
      <c r="B93" s="13"/>
      <c r="C93" s="28"/>
      <c r="D93" s="13"/>
      <c r="E93" s="13"/>
      <c r="F93" s="13"/>
      <c r="G93" s="28"/>
      <c r="H93" s="13"/>
      <c r="I93" s="13" t="str">
        <f aca="false">IF(A93="","",IFERROR(INDEX(Pedidos!$D$2:$D$301,MATCH(B93,Pedidos!$A$2:$A$301,0)),"Pedido no encontrado"))</f>
        <v/>
      </c>
      <c r="J93" s="13" t="str">
        <f aca="false">IF(A93="","",IF(F93="Abierta",Control!$C$4-C93,IF(G93="","",G93-C93)))</f>
        <v/>
      </c>
      <c r="K93" s="13" t="str">
        <f aca="false">IF(A93="","",IF(I93="Pedido no encontrado","Pedido no encontrado",IF(AND(F93="Cerrada",G93=""),"Cerrada sin fecha de cierre",IF(AND(G93&lt;&gt;"",G93&lt;C93),"Cierre anterior a la apertura",""))))</f>
        <v/>
      </c>
    </row>
    <row r="94" customFormat="false" ht="15" hidden="false" customHeight="false" outlineLevel="0" collapsed="false">
      <c r="A94" s="13"/>
      <c r="B94" s="13"/>
      <c r="C94" s="28"/>
      <c r="D94" s="13"/>
      <c r="E94" s="13"/>
      <c r="F94" s="13"/>
      <c r="G94" s="28"/>
      <c r="H94" s="13"/>
      <c r="I94" s="13" t="str">
        <f aca="false">IF(A94="","",IFERROR(INDEX(Pedidos!$D$2:$D$301,MATCH(B94,Pedidos!$A$2:$A$301,0)),"Pedido no encontrado"))</f>
        <v/>
      </c>
      <c r="J94" s="13" t="str">
        <f aca="false">IF(A94="","",IF(F94="Abierta",Control!$C$4-C94,IF(G94="","",G94-C94)))</f>
        <v/>
      </c>
      <c r="K94" s="13" t="str">
        <f aca="false">IF(A94="","",IF(I94="Pedido no encontrado","Pedido no encontrado",IF(AND(F94="Cerrada",G94=""),"Cerrada sin fecha de cierre",IF(AND(G94&lt;&gt;"",G94&lt;C94),"Cierre anterior a la apertura",""))))</f>
        <v/>
      </c>
    </row>
    <row r="95" customFormat="false" ht="15" hidden="false" customHeight="false" outlineLevel="0" collapsed="false">
      <c r="A95" s="13"/>
      <c r="B95" s="13"/>
      <c r="C95" s="28"/>
      <c r="D95" s="13"/>
      <c r="E95" s="13"/>
      <c r="F95" s="13"/>
      <c r="G95" s="28"/>
      <c r="H95" s="13"/>
      <c r="I95" s="13" t="str">
        <f aca="false">IF(A95="","",IFERROR(INDEX(Pedidos!$D$2:$D$301,MATCH(B95,Pedidos!$A$2:$A$301,0)),"Pedido no encontrado"))</f>
        <v/>
      </c>
      <c r="J95" s="13" t="str">
        <f aca="false">IF(A95="","",IF(F95="Abierta",Control!$C$4-C95,IF(G95="","",G95-C95)))</f>
        <v/>
      </c>
      <c r="K95" s="13" t="str">
        <f aca="false">IF(A95="","",IF(I95="Pedido no encontrado","Pedido no encontrado",IF(AND(F95="Cerrada",G95=""),"Cerrada sin fecha de cierre",IF(AND(G95&lt;&gt;"",G95&lt;C95),"Cierre anterior a la apertura",""))))</f>
        <v/>
      </c>
    </row>
    <row r="96" customFormat="false" ht="15" hidden="false" customHeight="false" outlineLevel="0" collapsed="false">
      <c r="A96" s="13"/>
      <c r="B96" s="13"/>
      <c r="C96" s="28"/>
      <c r="D96" s="13"/>
      <c r="E96" s="13"/>
      <c r="F96" s="13"/>
      <c r="G96" s="28"/>
      <c r="H96" s="13"/>
      <c r="I96" s="13" t="str">
        <f aca="false">IF(A96="","",IFERROR(INDEX(Pedidos!$D$2:$D$301,MATCH(B96,Pedidos!$A$2:$A$301,0)),"Pedido no encontrado"))</f>
        <v/>
      </c>
      <c r="J96" s="13" t="str">
        <f aca="false">IF(A96="","",IF(F96="Abierta",Control!$C$4-C96,IF(G96="","",G96-C96)))</f>
        <v/>
      </c>
      <c r="K96" s="13" t="str">
        <f aca="false">IF(A96="","",IF(I96="Pedido no encontrado","Pedido no encontrado",IF(AND(F96="Cerrada",G96=""),"Cerrada sin fecha de cierre",IF(AND(G96&lt;&gt;"",G96&lt;C96),"Cierre anterior a la apertura",""))))</f>
        <v/>
      </c>
    </row>
    <row r="97" customFormat="false" ht="15" hidden="false" customHeight="false" outlineLevel="0" collapsed="false">
      <c r="A97" s="13"/>
      <c r="B97" s="13"/>
      <c r="C97" s="28"/>
      <c r="D97" s="13"/>
      <c r="E97" s="13"/>
      <c r="F97" s="13"/>
      <c r="G97" s="28"/>
      <c r="H97" s="13"/>
      <c r="I97" s="13" t="str">
        <f aca="false">IF(A97="","",IFERROR(INDEX(Pedidos!$D$2:$D$301,MATCH(B97,Pedidos!$A$2:$A$301,0)),"Pedido no encontrado"))</f>
        <v/>
      </c>
      <c r="J97" s="13" t="str">
        <f aca="false">IF(A97="","",IF(F97="Abierta",Control!$C$4-C97,IF(G97="","",G97-C97)))</f>
        <v/>
      </c>
      <c r="K97" s="13" t="str">
        <f aca="false">IF(A97="","",IF(I97="Pedido no encontrado","Pedido no encontrado",IF(AND(F97="Cerrada",G97=""),"Cerrada sin fecha de cierre",IF(AND(G97&lt;&gt;"",G97&lt;C97),"Cierre anterior a la apertura",""))))</f>
        <v/>
      </c>
    </row>
    <row r="98" customFormat="false" ht="15" hidden="false" customHeight="false" outlineLevel="0" collapsed="false">
      <c r="A98" s="13"/>
      <c r="B98" s="13"/>
      <c r="C98" s="28"/>
      <c r="D98" s="13"/>
      <c r="E98" s="13"/>
      <c r="F98" s="13"/>
      <c r="G98" s="28"/>
      <c r="H98" s="13"/>
      <c r="I98" s="13" t="str">
        <f aca="false">IF(A98="","",IFERROR(INDEX(Pedidos!$D$2:$D$301,MATCH(B98,Pedidos!$A$2:$A$301,0)),"Pedido no encontrado"))</f>
        <v/>
      </c>
      <c r="J98" s="13" t="str">
        <f aca="false">IF(A98="","",IF(F98="Abierta",Control!$C$4-C98,IF(G98="","",G98-C98)))</f>
        <v/>
      </c>
      <c r="K98" s="13" t="str">
        <f aca="false">IF(A98="","",IF(I98="Pedido no encontrado","Pedido no encontrado",IF(AND(F98="Cerrada",G98=""),"Cerrada sin fecha de cierre",IF(AND(G98&lt;&gt;"",G98&lt;C98),"Cierre anterior a la apertura",""))))</f>
        <v/>
      </c>
    </row>
    <row r="99" customFormat="false" ht="15" hidden="false" customHeight="false" outlineLevel="0" collapsed="false">
      <c r="A99" s="13"/>
      <c r="B99" s="13"/>
      <c r="C99" s="28"/>
      <c r="D99" s="13"/>
      <c r="E99" s="13"/>
      <c r="F99" s="13"/>
      <c r="G99" s="28"/>
      <c r="H99" s="13"/>
      <c r="I99" s="13" t="str">
        <f aca="false">IF(A99="","",IFERROR(INDEX(Pedidos!$D$2:$D$301,MATCH(B99,Pedidos!$A$2:$A$301,0)),"Pedido no encontrado"))</f>
        <v/>
      </c>
      <c r="J99" s="13" t="str">
        <f aca="false">IF(A99="","",IF(F99="Abierta",Control!$C$4-C99,IF(G99="","",G99-C99)))</f>
        <v/>
      </c>
      <c r="K99" s="13" t="str">
        <f aca="false">IF(A99="","",IF(I99="Pedido no encontrado","Pedido no encontrado",IF(AND(F99="Cerrada",G99=""),"Cerrada sin fecha de cierre",IF(AND(G99&lt;&gt;"",G99&lt;C99),"Cierre anterior a la apertura",""))))</f>
        <v/>
      </c>
    </row>
    <row r="100" customFormat="false" ht="15" hidden="false" customHeight="false" outlineLevel="0" collapsed="false">
      <c r="A100" s="13"/>
      <c r="B100" s="13"/>
      <c r="C100" s="28"/>
      <c r="D100" s="13"/>
      <c r="E100" s="13"/>
      <c r="F100" s="13"/>
      <c r="G100" s="28"/>
      <c r="H100" s="13"/>
      <c r="I100" s="13" t="str">
        <f aca="false">IF(A100="","",IFERROR(INDEX(Pedidos!$D$2:$D$301,MATCH(B100,Pedidos!$A$2:$A$301,0)),"Pedido no encontrado"))</f>
        <v/>
      </c>
      <c r="J100" s="13" t="str">
        <f aca="false">IF(A100="","",IF(F100="Abierta",Control!$C$4-C100,IF(G100="","",G100-C100)))</f>
        <v/>
      </c>
      <c r="K100" s="13" t="str">
        <f aca="false">IF(A100="","",IF(I100="Pedido no encontrado","Pedido no encontrado",IF(AND(F100="Cerrada",G100=""),"Cerrada sin fecha de cierre",IF(AND(G100&lt;&gt;"",G100&lt;C100),"Cierre anterior a la apertura",""))))</f>
        <v/>
      </c>
    </row>
    <row r="101" customFormat="false" ht="15" hidden="false" customHeight="false" outlineLevel="0" collapsed="false">
      <c r="A101" s="13"/>
      <c r="B101" s="13"/>
      <c r="C101" s="28"/>
      <c r="D101" s="13"/>
      <c r="E101" s="13"/>
      <c r="F101" s="13"/>
      <c r="G101" s="28"/>
      <c r="H101" s="13"/>
      <c r="I101" s="13" t="str">
        <f aca="false">IF(A101="","",IFERROR(INDEX(Pedidos!$D$2:$D$301,MATCH(B101,Pedidos!$A$2:$A$301,0)),"Pedido no encontrado"))</f>
        <v/>
      </c>
      <c r="J101" s="13" t="str">
        <f aca="false">IF(A101="","",IF(F101="Abierta",Control!$C$4-C101,IF(G101="","",G101-C101)))</f>
        <v/>
      </c>
      <c r="K101" s="13" t="str">
        <f aca="false">IF(A101="","",IF(I101="Pedido no encontrado","Pedido no encontrado",IF(AND(F101="Cerrada",G101=""),"Cerrada sin fecha de cierre",IF(AND(G101&lt;&gt;"",G101&lt;C101),"Cierre anterior a la apertura",""))))</f>
        <v/>
      </c>
    </row>
    <row r="102" customFormat="false" ht="15" hidden="false" customHeight="false" outlineLevel="0" collapsed="false">
      <c r="A102" s="13"/>
      <c r="B102" s="13"/>
      <c r="C102" s="28"/>
      <c r="D102" s="13"/>
      <c r="E102" s="13"/>
      <c r="F102" s="13"/>
      <c r="G102" s="28"/>
      <c r="H102" s="13"/>
      <c r="I102" s="13" t="str">
        <f aca="false">IF(A102="","",IFERROR(INDEX(Pedidos!$D$2:$D$301,MATCH(B102,Pedidos!$A$2:$A$301,0)),"Pedido no encontrado"))</f>
        <v/>
      </c>
      <c r="J102" s="13" t="str">
        <f aca="false">IF(A102="","",IF(F102="Abierta",Control!$C$4-C102,IF(G102="","",G102-C102)))</f>
        <v/>
      </c>
      <c r="K102" s="13" t="str">
        <f aca="false">IF(A102="","",IF(I102="Pedido no encontrado","Pedido no encontrado",IF(AND(F102="Cerrada",G102=""),"Cerrada sin fecha de cierre",IF(AND(G102&lt;&gt;"",G102&lt;C102),"Cierre anterior a la apertura",""))))</f>
        <v/>
      </c>
    </row>
    <row r="103" customFormat="false" ht="15" hidden="false" customHeight="false" outlineLevel="0" collapsed="false">
      <c r="A103" s="13"/>
      <c r="B103" s="13"/>
      <c r="C103" s="28"/>
      <c r="D103" s="13"/>
      <c r="E103" s="13"/>
      <c r="F103" s="13"/>
      <c r="G103" s="28"/>
      <c r="H103" s="13"/>
      <c r="I103" s="13" t="str">
        <f aca="false">IF(A103="","",IFERROR(INDEX(Pedidos!$D$2:$D$301,MATCH(B103,Pedidos!$A$2:$A$301,0)),"Pedido no encontrado"))</f>
        <v/>
      </c>
      <c r="J103" s="13" t="str">
        <f aca="false">IF(A103="","",IF(F103="Abierta",Control!$C$4-C103,IF(G103="","",G103-C103)))</f>
        <v/>
      </c>
      <c r="K103" s="13" t="str">
        <f aca="false">IF(A103="","",IF(I103="Pedido no encontrado","Pedido no encontrado",IF(AND(F103="Cerrada",G103=""),"Cerrada sin fecha de cierre",IF(AND(G103&lt;&gt;"",G103&lt;C103),"Cierre anterior a la apertura",""))))</f>
        <v/>
      </c>
    </row>
    <row r="104" customFormat="false" ht="15" hidden="false" customHeight="false" outlineLevel="0" collapsed="false">
      <c r="A104" s="13"/>
      <c r="B104" s="13"/>
      <c r="C104" s="28"/>
      <c r="D104" s="13"/>
      <c r="E104" s="13"/>
      <c r="F104" s="13"/>
      <c r="G104" s="28"/>
      <c r="H104" s="13"/>
      <c r="I104" s="13" t="str">
        <f aca="false">IF(A104="","",IFERROR(INDEX(Pedidos!$D$2:$D$301,MATCH(B104,Pedidos!$A$2:$A$301,0)),"Pedido no encontrado"))</f>
        <v/>
      </c>
      <c r="J104" s="13" t="str">
        <f aca="false">IF(A104="","",IF(F104="Abierta",Control!$C$4-C104,IF(G104="","",G104-C104)))</f>
        <v/>
      </c>
      <c r="K104" s="13" t="str">
        <f aca="false">IF(A104="","",IF(I104="Pedido no encontrado","Pedido no encontrado",IF(AND(F104="Cerrada",G104=""),"Cerrada sin fecha de cierre",IF(AND(G104&lt;&gt;"",G104&lt;C104),"Cierre anterior a la apertura",""))))</f>
        <v/>
      </c>
    </row>
    <row r="105" customFormat="false" ht="15" hidden="false" customHeight="false" outlineLevel="0" collapsed="false">
      <c r="A105" s="13"/>
      <c r="B105" s="13"/>
      <c r="C105" s="28"/>
      <c r="D105" s="13"/>
      <c r="E105" s="13"/>
      <c r="F105" s="13"/>
      <c r="G105" s="28"/>
      <c r="H105" s="13"/>
      <c r="I105" s="13" t="str">
        <f aca="false">IF(A105="","",IFERROR(INDEX(Pedidos!$D$2:$D$301,MATCH(B105,Pedidos!$A$2:$A$301,0)),"Pedido no encontrado"))</f>
        <v/>
      </c>
      <c r="J105" s="13" t="str">
        <f aca="false">IF(A105="","",IF(F105="Abierta",Control!$C$4-C105,IF(G105="","",G105-C105)))</f>
        <v/>
      </c>
      <c r="K105" s="13" t="str">
        <f aca="false">IF(A105="","",IF(I105="Pedido no encontrado","Pedido no encontrado",IF(AND(F105="Cerrada",G105=""),"Cerrada sin fecha de cierre",IF(AND(G105&lt;&gt;"",G105&lt;C105),"Cierre anterior a la apertura",""))))</f>
        <v/>
      </c>
    </row>
    <row r="106" customFormat="false" ht="15" hidden="false" customHeight="false" outlineLevel="0" collapsed="false">
      <c r="A106" s="13"/>
      <c r="B106" s="13"/>
      <c r="C106" s="28"/>
      <c r="D106" s="13"/>
      <c r="E106" s="13"/>
      <c r="F106" s="13"/>
      <c r="G106" s="28"/>
      <c r="H106" s="13"/>
      <c r="I106" s="13" t="str">
        <f aca="false">IF(A106="","",IFERROR(INDEX(Pedidos!$D$2:$D$301,MATCH(B106,Pedidos!$A$2:$A$301,0)),"Pedido no encontrado"))</f>
        <v/>
      </c>
      <c r="J106" s="13" t="str">
        <f aca="false">IF(A106="","",IF(F106="Abierta",Control!$C$4-C106,IF(G106="","",G106-C106)))</f>
        <v/>
      </c>
      <c r="K106" s="13" t="str">
        <f aca="false">IF(A106="","",IF(I106="Pedido no encontrado","Pedido no encontrado",IF(AND(F106="Cerrada",G106=""),"Cerrada sin fecha de cierre",IF(AND(G106&lt;&gt;"",G106&lt;C106),"Cierre anterior a la apertura",""))))</f>
        <v/>
      </c>
    </row>
    <row r="107" customFormat="false" ht="15" hidden="false" customHeight="false" outlineLevel="0" collapsed="false">
      <c r="A107" s="13"/>
      <c r="B107" s="13"/>
      <c r="C107" s="28"/>
      <c r="D107" s="13"/>
      <c r="E107" s="13"/>
      <c r="F107" s="13"/>
      <c r="G107" s="28"/>
      <c r="H107" s="13"/>
      <c r="I107" s="13" t="str">
        <f aca="false">IF(A107="","",IFERROR(INDEX(Pedidos!$D$2:$D$301,MATCH(B107,Pedidos!$A$2:$A$301,0)),"Pedido no encontrado"))</f>
        <v/>
      </c>
      <c r="J107" s="13" t="str">
        <f aca="false">IF(A107="","",IF(F107="Abierta",Control!$C$4-C107,IF(G107="","",G107-C107)))</f>
        <v/>
      </c>
      <c r="K107" s="13" t="str">
        <f aca="false">IF(A107="","",IF(I107="Pedido no encontrado","Pedido no encontrado",IF(AND(F107="Cerrada",G107=""),"Cerrada sin fecha de cierre",IF(AND(G107&lt;&gt;"",G107&lt;C107),"Cierre anterior a la apertura",""))))</f>
        <v/>
      </c>
    </row>
    <row r="108" customFormat="false" ht="15" hidden="false" customHeight="false" outlineLevel="0" collapsed="false">
      <c r="A108" s="13"/>
      <c r="B108" s="13"/>
      <c r="C108" s="28"/>
      <c r="D108" s="13"/>
      <c r="E108" s="13"/>
      <c r="F108" s="13"/>
      <c r="G108" s="28"/>
      <c r="H108" s="13"/>
      <c r="I108" s="13" t="str">
        <f aca="false">IF(A108="","",IFERROR(INDEX(Pedidos!$D$2:$D$301,MATCH(B108,Pedidos!$A$2:$A$301,0)),"Pedido no encontrado"))</f>
        <v/>
      </c>
      <c r="J108" s="13" t="str">
        <f aca="false">IF(A108="","",IF(F108="Abierta",Control!$C$4-C108,IF(G108="","",G108-C108)))</f>
        <v/>
      </c>
      <c r="K108" s="13" t="str">
        <f aca="false">IF(A108="","",IF(I108="Pedido no encontrado","Pedido no encontrado",IF(AND(F108="Cerrada",G108=""),"Cerrada sin fecha de cierre",IF(AND(G108&lt;&gt;"",G108&lt;C108),"Cierre anterior a la apertura",""))))</f>
        <v/>
      </c>
    </row>
    <row r="109" customFormat="false" ht="15" hidden="false" customHeight="false" outlineLevel="0" collapsed="false">
      <c r="A109" s="13"/>
      <c r="B109" s="13"/>
      <c r="C109" s="28"/>
      <c r="D109" s="13"/>
      <c r="E109" s="13"/>
      <c r="F109" s="13"/>
      <c r="G109" s="28"/>
      <c r="H109" s="13"/>
      <c r="I109" s="13" t="str">
        <f aca="false">IF(A109="","",IFERROR(INDEX(Pedidos!$D$2:$D$301,MATCH(B109,Pedidos!$A$2:$A$301,0)),"Pedido no encontrado"))</f>
        <v/>
      </c>
      <c r="J109" s="13" t="str">
        <f aca="false">IF(A109="","",IF(F109="Abierta",Control!$C$4-C109,IF(G109="","",G109-C109)))</f>
        <v/>
      </c>
      <c r="K109" s="13" t="str">
        <f aca="false">IF(A109="","",IF(I109="Pedido no encontrado","Pedido no encontrado",IF(AND(F109="Cerrada",G109=""),"Cerrada sin fecha de cierre",IF(AND(G109&lt;&gt;"",G109&lt;C109),"Cierre anterior a la apertura",""))))</f>
        <v/>
      </c>
    </row>
    <row r="110" customFormat="false" ht="15" hidden="false" customHeight="false" outlineLevel="0" collapsed="false">
      <c r="A110" s="13"/>
      <c r="B110" s="13"/>
      <c r="C110" s="28"/>
      <c r="D110" s="13"/>
      <c r="E110" s="13"/>
      <c r="F110" s="13"/>
      <c r="G110" s="28"/>
      <c r="H110" s="13"/>
      <c r="I110" s="13" t="str">
        <f aca="false">IF(A110="","",IFERROR(INDEX(Pedidos!$D$2:$D$301,MATCH(B110,Pedidos!$A$2:$A$301,0)),"Pedido no encontrado"))</f>
        <v/>
      </c>
      <c r="J110" s="13" t="str">
        <f aca="false">IF(A110="","",IF(F110="Abierta",Control!$C$4-C110,IF(G110="","",G110-C110)))</f>
        <v/>
      </c>
      <c r="K110" s="13" t="str">
        <f aca="false">IF(A110="","",IF(I110="Pedido no encontrado","Pedido no encontrado",IF(AND(F110="Cerrada",G110=""),"Cerrada sin fecha de cierre",IF(AND(G110&lt;&gt;"",G110&lt;C110),"Cierre anterior a la apertura",""))))</f>
        <v/>
      </c>
    </row>
    <row r="111" customFormat="false" ht="15" hidden="false" customHeight="false" outlineLevel="0" collapsed="false">
      <c r="A111" s="13"/>
      <c r="B111" s="13"/>
      <c r="C111" s="28"/>
      <c r="D111" s="13"/>
      <c r="E111" s="13"/>
      <c r="F111" s="13"/>
      <c r="G111" s="28"/>
      <c r="H111" s="13"/>
      <c r="I111" s="13" t="str">
        <f aca="false">IF(A111="","",IFERROR(INDEX(Pedidos!$D$2:$D$301,MATCH(B111,Pedidos!$A$2:$A$301,0)),"Pedido no encontrado"))</f>
        <v/>
      </c>
      <c r="J111" s="13" t="str">
        <f aca="false">IF(A111="","",IF(F111="Abierta",Control!$C$4-C111,IF(G111="","",G111-C111)))</f>
        <v/>
      </c>
      <c r="K111" s="13" t="str">
        <f aca="false">IF(A111="","",IF(I111="Pedido no encontrado","Pedido no encontrado",IF(AND(F111="Cerrada",G111=""),"Cerrada sin fecha de cierre",IF(AND(G111&lt;&gt;"",G111&lt;C111),"Cierre anterior a la apertura",""))))</f>
        <v/>
      </c>
    </row>
    <row r="112" customFormat="false" ht="15" hidden="false" customHeight="false" outlineLevel="0" collapsed="false">
      <c r="A112" s="13"/>
      <c r="B112" s="13"/>
      <c r="C112" s="28"/>
      <c r="D112" s="13"/>
      <c r="E112" s="13"/>
      <c r="F112" s="13"/>
      <c r="G112" s="28"/>
      <c r="H112" s="13"/>
      <c r="I112" s="13" t="str">
        <f aca="false">IF(A112="","",IFERROR(INDEX(Pedidos!$D$2:$D$301,MATCH(B112,Pedidos!$A$2:$A$301,0)),"Pedido no encontrado"))</f>
        <v/>
      </c>
      <c r="J112" s="13" t="str">
        <f aca="false">IF(A112="","",IF(F112="Abierta",Control!$C$4-C112,IF(G112="","",G112-C112)))</f>
        <v/>
      </c>
      <c r="K112" s="13" t="str">
        <f aca="false">IF(A112="","",IF(I112="Pedido no encontrado","Pedido no encontrado",IF(AND(F112="Cerrada",G112=""),"Cerrada sin fecha de cierre",IF(AND(G112&lt;&gt;"",G112&lt;C112),"Cierre anterior a la apertura",""))))</f>
        <v/>
      </c>
    </row>
    <row r="113" customFormat="false" ht="15" hidden="false" customHeight="false" outlineLevel="0" collapsed="false">
      <c r="A113" s="13"/>
      <c r="B113" s="13"/>
      <c r="C113" s="28"/>
      <c r="D113" s="13"/>
      <c r="E113" s="13"/>
      <c r="F113" s="13"/>
      <c r="G113" s="28"/>
      <c r="H113" s="13"/>
      <c r="I113" s="13" t="str">
        <f aca="false">IF(A113="","",IFERROR(INDEX(Pedidos!$D$2:$D$301,MATCH(B113,Pedidos!$A$2:$A$301,0)),"Pedido no encontrado"))</f>
        <v/>
      </c>
      <c r="J113" s="13" t="str">
        <f aca="false">IF(A113="","",IF(F113="Abierta",Control!$C$4-C113,IF(G113="","",G113-C113)))</f>
        <v/>
      </c>
      <c r="K113" s="13" t="str">
        <f aca="false">IF(A113="","",IF(I113="Pedido no encontrado","Pedido no encontrado",IF(AND(F113="Cerrada",G113=""),"Cerrada sin fecha de cierre",IF(AND(G113&lt;&gt;"",G113&lt;C113),"Cierre anterior a la apertura",""))))</f>
        <v/>
      </c>
    </row>
    <row r="114" customFormat="false" ht="15" hidden="false" customHeight="false" outlineLevel="0" collapsed="false">
      <c r="A114" s="13"/>
      <c r="B114" s="13"/>
      <c r="C114" s="28"/>
      <c r="D114" s="13"/>
      <c r="E114" s="13"/>
      <c r="F114" s="13"/>
      <c r="G114" s="28"/>
      <c r="H114" s="13"/>
      <c r="I114" s="13" t="str">
        <f aca="false">IF(A114="","",IFERROR(INDEX(Pedidos!$D$2:$D$301,MATCH(B114,Pedidos!$A$2:$A$301,0)),"Pedido no encontrado"))</f>
        <v/>
      </c>
      <c r="J114" s="13" t="str">
        <f aca="false">IF(A114="","",IF(F114="Abierta",Control!$C$4-C114,IF(G114="","",G114-C114)))</f>
        <v/>
      </c>
      <c r="K114" s="13" t="str">
        <f aca="false">IF(A114="","",IF(I114="Pedido no encontrado","Pedido no encontrado",IF(AND(F114="Cerrada",G114=""),"Cerrada sin fecha de cierre",IF(AND(G114&lt;&gt;"",G114&lt;C114),"Cierre anterior a la apertura",""))))</f>
        <v/>
      </c>
    </row>
    <row r="115" customFormat="false" ht="15" hidden="false" customHeight="false" outlineLevel="0" collapsed="false">
      <c r="A115" s="13"/>
      <c r="B115" s="13"/>
      <c r="C115" s="28"/>
      <c r="D115" s="13"/>
      <c r="E115" s="13"/>
      <c r="F115" s="13"/>
      <c r="G115" s="28"/>
      <c r="H115" s="13"/>
      <c r="I115" s="13" t="str">
        <f aca="false">IF(A115="","",IFERROR(INDEX(Pedidos!$D$2:$D$301,MATCH(B115,Pedidos!$A$2:$A$301,0)),"Pedido no encontrado"))</f>
        <v/>
      </c>
      <c r="J115" s="13" t="str">
        <f aca="false">IF(A115="","",IF(F115="Abierta",Control!$C$4-C115,IF(G115="","",G115-C115)))</f>
        <v/>
      </c>
      <c r="K115" s="13" t="str">
        <f aca="false">IF(A115="","",IF(I115="Pedido no encontrado","Pedido no encontrado",IF(AND(F115="Cerrada",G115=""),"Cerrada sin fecha de cierre",IF(AND(G115&lt;&gt;"",G115&lt;C115),"Cierre anterior a la apertura",""))))</f>
        <v/>
      </c>
    </row>
    <row r="116" customFormat="false" ht="15" hidden="false" customHeight="false" outlineLevel="0" collapsed="false">
      <c r="A116" s="13"/>
      <c r="B116" s="13"/>
      <c r="C116" s="28"/>
      <c r="D116" s="13"/>
      <c r="E116" s="13"/>
      <c r="F116" s="13"/>
      <c r="G116" s="28"/>
      <c r="H116" s="13"/>
      <c r="I116" s="13" t="str">
        <f aca="false">IF(A116="","",IFERROR(INDEX(Pedidos!$D$2:$D$301,MATCH(B116,Pedidos!$A$2:$A$301,0)),"Pedido no encontrado"))</f>
        <v/>
      </c>
      <c r="J116" s="13" t="str">
        <f aca="false">IF(A116="","",IF(F116="Abierta",Control!$C$4-C116,IF(G116="","",G116-C116)))</f>
        <v/>
      </c>
      <c r="K116" s="13" t="str">
        <f aca="false">IF(A116="","",IF(I116="Pedido no encontrado","Pedido no encontrado",IF(AND(F116="Cerrada",G116=""),"Cerrada sin fecha de cierre",IF(AND(G116&lt;&gt;"",G116&lt;C116),"Cierre anterior a la apertura",""))))</f>
        <v/>
      </c>
    </row>
    <row r="117" customFormat="false" ht="15" hidden="false" customHeight="false" outlineLevel="0" collapsed="false">
      <c r="A117" s="13"/>
      <c r="B117" s="13"/>
      <c r="C117" s="28"/>
      <c r="D117" s="13"/>
      <c r="E117" s="13"/>
      <c r="F117" s="13"/>
      <c r="G117" s="28"/>
      <c r="H117" s="13"/>
      <c r="I117" s="13" t="str">
        <f aca="false">IF(A117="","",IFERROR(INDEX(Pedidos!$D$2:$D$301,MATCH(B117,Pedidos!$A$2:$A$301,0)),"Pedido no encontrado"))</f>
        <v/>
      </c>
      <c r="J117" s="13" t="str">
        <f aca="false">IF(A117="","",IF(F117="Abierta",Control!$C$4-C117,IF(G117="","",G117-C117)))</f>
        <v/>
      </c>
      <c r="K117" s="13" t="str">
        <f aca="false">IF(A117="","",IF(I117="Pedido no encontrado","Pedido no encontrado",IF(AND(F117="Cerrada",G117=""),"Cerrada sin fecha de cierre",IF(AND(G117&lt;&gt;"",G117&lt;C117),"Cierre anterior a la apertura",""))))</f>
        <v/>
      </c>
    </row>
    <row r="118" customFormat="false" ht="15" hidden="false" customHeight="false" outlineLevel="0" collapsed="false">
      <c r="A118" s="13"/>
      <c r="B118" s="13"/>
      <c r="C118" s="28"/>
      <c r="D118" s="13"/>
      <c r="E118" s="13"/>
      <c r="F118" s="13"/>
      <c r="G118" s="28"/>
      <c r="H118" s="13"/>
      <c r="I118" s="13" t="str">
        <f aca="false">IF(A118="","",IFERROR(INDEX(Pedidos!$D$2:$D$301,MATCH(B118,Pedidos!$A$2:$A$301,0)),"Pedido no encontrado"))</f>
        <v/>
      </c>
      <c r="J118" s="13" t="str">
        <f aca="false">IF(A118="","",IF(F118="Abierta",Control!$C$4-C118,IF(G118="","",G118-C118)))</f>
        <v/>
      </c>
      <c r="K118" s="13" t="str">
        <f aca="false">IF(A118="","",IF(I118="Pedido no encontrado","Pedido no encontrado",IF(AND(F118="Cerrada",G118=""),"Cerrada sin fecha de cierre",IF(AND(G118&lt;&gt;"",G118&lt;C118),"Cierre anterior a la apertura",""))))</f>
        <v/>
      </c>
    </row>
    <row r="119" customFormat="false" ht="15" hidden="false" customHeight="false" outlineLevel="0" collapsed="false">
      <c r="A119" s="13"/>
      <c r="B119" s="13"/>
      <c r="C119" s="28"/>
      <c r="D119" s="13"/>
      <c r="E119" s="13"/>
      <c r="F119" s="13"/>
      <c r="G119" s="28"/>
      <c r="H119" s="13"/>
      <c r="I119" s="13" t="str">
        <f aca="false">IF(A119="","",IFERROR(INDEX(Pedidos!$D$2:$D$301,MATCH(B119,Pedidos!$A$2:$A$301,0)),"Pedido no encontrado"))</f>
        <v/>
      </c>
      <c r="J119" s="13" t="str">
        <f aca="false">IF(A119="","",IF(F119="Abierta",Control!$C$4-C119,IF(G119="","",G119-C119)))</f>
        <v/>
      </c>
      <c r="K119" s="13" t="str">
        <f aca="false">IF(A119="","",IF(I119="Pedido no encontrado","Pedido no encontrado",IF(AND(F119="Cerrada",G119=""),"Cerrada sin fecha de cierre",IF(AND(G119&lt;&gt;"",G119&lt;C119),"Cierre anterior a la apertura",""))))</f>
        <v/>
      </c>
    </row>
    <row r="120" customFormat="false" ht="15" hidden="false" customHeight="false" outlineLevel="0" collapsed="false">
      <c r="A120" s="13"/>
      <c r="B120" s="13"/>
      <c r="C120" s="28"/>
      <c r="D120" s="13"/>
      <c r="E120" s="13"/>
      <c r="F120" s="13"/>
      <c r="G120" s="28"/>
      <c r="H120" s="13"/>
      <c r="I120" s="13" t="str">
        <f aca="false">IF(A120="","",IFERROR(INDEX(Pedidos!$D$2:$D$301,MATCH(B120,Pedidos!$A$2:$A$301,0)),"Pedido no encontrado"))</f>
        <v/>
      </c>
      <c r="J120" s="13" t="str">
        <f aca="false">IF(A120="","",IF(F120="Abierta",Control!$C$4-C120,IF(G120="","",G120-C120)))</f>
        <v/>
      </c>
      <c r="K120" s="13" t="str">
        <f aca="false">IF(A120="","",IF(I120="Pedido no encontrado","Pedido no encontrado",IF(AND(F120="Cerrada",G120=""),"Cerrada sin fecha de cierre",IF(AND(G120&lt;&gt;"",G120&lt;C120),"Cierre anterior a la apertura",""))))</f>
        <v/>
      </c>
    </row>
    <row r="121" customFormat="false" ht="15" hidden="false" customHeight="false" outlineLevel="0" collapsed="false">
      <c r="A121" s="13"/>
      <c r="B121" s="13"/>
      <c r="C121" s="28"/>
      <c r="D121" s="13"/>
      <c r="E121" s="13"/>
      <c r="F121" s="13"/>
      <c r="G121" s="28"/>
      <c r="H121" s="13"/>
      <c r="I121" s="13" t="str">
        <f aca="false">IF(A121="","",IFERROR(INDEX(Pedidos!$D$2:$D$301,MATCH(B121,Pedidos!$A$2:$A$301,0)),"Pedido no encontrado"))</f>
        <v/>
      </c>
      <c r="J121" s="13" t="str">
        <f aca="false">IF(A121="","",IF(F121="Abierta",Control!$C$4-C121,IF(G121="","",G121-C121)))</f>
        <v/>
      </c>
      <c r="K121" s="13" t="str">
        <f aca="false">IF(A121="","",IF(I121="Pedido no encontrado","Pedido no encontrado",IF(AND(F121="Cerrada",G121=""),"Cerrada sin fecha de cierre",IF(AND(G121&lt;&gt;"",G121&lt;C121),"Cierre anterior a la apertura",""))))</f>
        <v/>
      </c>
    </row>
    <row r="122" customFormat="false" ht="15" hidden="false" customHeight="false" outlineLevel="0" collapsed="false">
      <c r="A122" s="13"/>
      <c r="B122" s="13"/>
      <c r="C122" s="28"/>
      <c r="D122" s="13"/>
      <c r="E122" s="13"/>
      <c r="F122" s="13"/>
      <c r="G122" s="28"/>
      <c r="H122" s="13"/>
      <c r="I122" s="13" t="str">
        <f aca="false">IF(A122="","",IFERROR(INDEX(Pedidos!$D$2:$D$301,MATCH(B122,Pedidos!$A$2:$A$301,0)),"Pedido no encontrado"))</f>
        <v/>
      </c>
      <c r="J122" s="13" t="str">
        <f aca="false">IF(A122="","",IF(F122="Abierta",Control!$C$4-C122,IF(G122="","",G122-C122)))</f>
        <v/>
      </c>
      <c r="K122" s="13" t="str">
        <f aca="false">IF(A122="","",IF(I122="Pedido no encontrado","Pedido no encontrado",IF(AND(F122="Cerrada",G122=""),"Cerrada sin fecha de cierre",IF(AND(G122&lt;&gt;"",G122&lt;C122),"Cierre anterior a la apertura",""))))</f>
        <v/>
      </c>
    </row>
    <row r="123" customFormat="false" ht="15" hidden="false" customHeight="false" outlineLevel="0" collapsed="false">
      <c r="A123" s="13"/>
      <c r="B123" s="13"/>
      <c r="C123" s="28"/>
      <c r="D123" s="13"/>
      <c r="E123" s="13"/>
      <c r="F123" s="13"/>
      <c r="G123" s="28"/>
      <c r="H123" s="13"/>
      <c r="I123" s="13" t="str">
        <f aca="false">IF(A123="","",IFERROR(INDEX(Pedidos!$D$2:$D$301,MATCH(B123,Pedidos!$A$2:$A$301,0)),"Pedido no encontrado"))</f>
        <v/>
      </c>
      <c r="J123" s="13" t="str">
        <f aca="false">IF(A123="","",IF(F123="Abierta",Control!$C$4-C123,IF(G123="","",G123-C123)))</f>
        <v/>
      </c>
      <c r="K123" s="13" t="str">
        <f aca="false">IF(A123="","",IF(I123="Pedido no encontrado","Pedido no encontrado",IF(AND(F123="Cerrada",G123=""),"Cerrada sin fecha de cierre",IF(AND(G123&lt;&gt;"",G123&lt;C123),"Cierre anterior a la apertura",""))))</f>
        <v/>
      </c>
    </row>
    <row r="124" customFormat="false" ht="15" hidden="false" customHeight="false" outlineLevel="0" collapsed="false">
      <c r="A124" s="13"/>
      <c r="B124" s="13"/>
      <c r="C124" s="28"/>
      <c r="D124" s="13"/>
      <c r="E124" s="13"/>
      <c r="F124" s="13"/>
      <c r="G124" s="28"/>
      <c r="H124" s="13"/>
      <c r="I124" s="13" t="str">
        <f aca="false">IF(A124="","",IFERROR(INDEX(Pedidos!$D$2:$D$301,MATCH(B124,Pedidos!$A$2:$A$301,0)),"Pedido no encontrado"))</f>
        <v/>
      </c>
      <c r="J124" s="13" t="str">
        <f aca="false">IF(A124="","",IF(F124="Abierta",Control!$C$4-C124,IF(G124="","",G124-C124)))</f>
        <v/>
      </c>
      <c r="K124" s="13" t="str">
        <f aca="false">IF(A124="","",IF(I124="Pedido no encontrado","Pedido no encontrado",IF(AND(F124="Cerrada",G124=""),"Cerrada sin fecha de cierre",IF(AND(G124&lt;&gt;"",G124&lt;C124),"Cierre anterior a la apertura",""))))</f>
        <v/>
      </c>
    </row>
    <row r="125" customFormat="false" ht="15" hidden="false" customHeight="false" outlineLevel="0" collapsed="false">
      <c r="A125" s="13"/>
      <c r="B125" s="13"/>
      <c r="C125" s="28"/>
      <c r="D125" s="13"/>
      <c r="E125" s="13"/>
      <c r="F125" s="13"/>
      <c r="G125" s="28"/>
      <c r="H125" s="13"/>
      <c r="I125" s="13" t="str">
        <f aca="false">IF(A125="","",IFERROR(INDEX(Pedidos!$D$2:$D$301,MATCH(B125,Pedidos!$A$2:$A$301,0)),"Pedido no encontrado"))</f>
        <v/>
      </c>
      <c r="J125" s="13" t="str">
        <f aca="false">IF(A125="","",IF(F125="Abierta",Control!$C$4-C125,IF(G125="","",G125-C125)))</f>
        <v/>
      </c>
      <c r="K125" s="13" t="str">
        <f aca="false">IF(A125="","",IF(I125="Pedido no encontrado","Pedido no encontrado",IF(AND(F125="Cerrada",G125=""),"Cerrada sin fecha de cierre",IF(AND(G125&lt;&gt;"",G125&lt;C125),"Cierre anterior a la apertura",""))))</f>
        <v/>
      </c>
    </row>
    <row r="126" customFormat="false" ht="15" hidden="false" customHeight="false" outlineLevel="0" collapsed="false">
      <c r="A126" s="13"/>
      <c r="B126" s="13"/>
      <c r="C126" s="28"/>
      <c r="D126" s="13"/>
      <c r="E126" s="13"/>
      <c r="F126" s="13"/>
      <c r="G126" s="28"/>
      <c r="H126" s="13"/>
      <c r="I126" s="13" t="str">
        <f aca="false">IF(A126="","",IFERROR(INDEX(Pedidos!$D$2:$D$301,MATCH(B126,Pedidos!$A$2:$A$301,0)),"Pedido no encontrado"))</f>
        <v/>
      </c>
      <c r="J126" s="13" t="str">
        <f aca="false">IF(A126="","",IF(F126="Abierta",Control!$C$4-C126,IF(G126="","",G126-C126)))</f>
        <v/>
      </c>
      <c r="K126" s="13" t="str">
        <f aca="false">IF(A126="","",IF(I126="Pedido no encontrado","Pedido no encontrado",IF(AND(F126="Cerrada",G126=""),"Cerrada sin fecha de cierre",IF(AND(G126&lt;&gt;"",G126&lt;C126),"Cierre anterior a la apertura",""))))</f>
        <v/>
      </c>
    </row>
    <row r="127" customFormat="false" ht="15" hidden="false" customHeight="false" outlineLevel="0" collapsed="false">
      <c r="A127" s="13"/>
      <c r="B127" s="13"/>
      <c r="C127" s="28"/>
      <c r="D127" s="13"/>
      <c r="E127" s="13"/>
      <c r="F127" s="13"/>
      <c r="G127" s="28"/>
      <c r="H127" s="13"/>
      <c r="I127" s="13" t="str">
        <f aca="false">IF(A127="","",IFERROR(INDEX(Pedidos!$D$2:$D$301,MATCH(B127,Pedidos!$A$2:$A$301,0)),"Pedido no encontrado"))</f>
        <v/>
      </c>
      <c r="J127" s="13" t="str">
        <f aca="false">IF(A127="","",IF(F127="Abierta",Control!$C$4-C127,IF(G127="","",G127-C127)))</f>
        <v/>
      </c>
      <c r="K127" s="13" t="str">
        <f aca="false">IF(A127="","",IF(I127="Pedido no encontrado","Pedido no encontrado",IF(AND(F127="Cerrada",G127=""),"Cerrada sin fecha de cierre",IF(AND(G127&lt;&gt;"",G127&lt;C127),"Cierre anterior a la apertura",""))))</f>
        <v/>
      </c>
    </row>
    <row r="128" customFormat="false" ht="15" hidden="false" customHeight="false" outlineLevel="0" collapsed="false">
      <c r="A128" s="13"/>
      <c r="B128" s="13"/>
      <c r="C128" s="28"/>
      <c r="D128" s="13"/>
      <c r="E128" s="13"/>
      <c r="F128" s="13"/>
      <c r="G128" s="28"/>
      <c r="H128" s="13"/>
      <c r="I128" s="13" t="str">
        <f aca="false">IF(A128="","",IFERROR(INDEX(Pedidos!$D$2:$D$301,MATCH(B128,Pedidos!$A$2:$A$301,0)),"Pedido no encontrado"))</f>
        <v/>
      </c>
      <c r="J128" s="13" t="str">
        <f aca="false">IF(A128="","",IF(F128="Abierta",Control!$C$4-C128,IF(G128="","",G128-C128)))</f>
        <v/>
      </c>
      <c r="K128" s="13" t="str">
        <f aca="false">IF(A128="","",IF(I128="Pedido no encontrado","Pedido no encontrado",IF(AND(F128="Cerrada",G128=""),"Cerrada sin fecha de cierre",IF(AND(G128&lt;&gt;"",G128&lt;C128),"Cierre anterior a la apertura",""))))</f>
        <v/>
      </c>
    </row>
    <row r="129" customFormat="false" ht="15" hidden="false" customHeight="false" outlineLevel="0" collapsed="false">
      <c r="A129" s="13"/>
      <c r="B129" s="13"/>
      <c r="C129" s="28"/>
      <c r="D129" s="13"/>
      <c r="E129" s="13"/>
      <c r="F129" s="13"/>
      <c r="G129" s="28"/>
      <c r="H129" s="13"/>
      <c r="I129" s="13" t="str">
        <f aca="false">IF(A129="","",IFERROR(INDEX(Pedidos!$D$2:$D$301,MATCH(B129,Pedidos!$A$2:$A$301,0)),"Pedido no encontrado"))</f>
        <v/>
      </c>
      <c r="J129" s="13" t="str">
        <f aca="false">IF(A129="","",IF(F129="Abierta",Control!$C$4-C129,IF(G129="","",G129-C129)))</f>
        <v/>
      </c>
      <c r="K129" s="13" t="str">
        <f aca="false">IF(A129="","",IF(I129="Pedido no encontrado","Pedido no encontrado",IF(AND(F129="Cerrada",G129=""),"Cerrada sin fecha de cierre",IF(AND(G129&lt;&gt;"",G129&lt;C129),"Cierre anterior a la apertura",""))))</f>
        <v/>
      </c>
    </row>
    <row r="130" customFormat="false" ht="15" hidden="false" customHeight="false" outlineLevel="0" collapsed="false">
      <c r="A130" s="13"/>
      <c r="B130" s="13"/>
      <c r="C130" s="28"/>
      <c r="D130" s="13"/>
      <c r="E130" s="13"/>
      <c r="F130" s="13"/>
      <c r="G130" s="28"/>
      <c r="H130" s="13"/>
      <c r="I130" s="13" t="str">
        <f aca="false">IF(A130="","",IFERROR(INDEX(Pedidos!$D$2:$D$301,MATCH(B130,Pedidos!$A$2:$A$301,0)),"Pedido no encontrado"))</f>
        <v/>
      </c>
      <c r="J130" s="13" t="str">
        <f aca="false">IF(A130="","",IF(F130="Abierta",Control!$C$4-C130,IF(G130="","",G130-C130)))</f>
        <v/>
      </c>
      <c r="K130" s="13" t="str">
        <f aca="false">IF(A130="","",IF(I130="Pedido no encontrado","Pedido no encontrado",IF(AND(F130="Cerrada",G130=""),"Cerrada sin fecha de cierre",IF(AND(G130&lt;&gt;"",G130&lt;C130),"Cierre anterior a la apertura",""))))</f>
        <v/>
      </c>
    </row>
    <row r="131" customFormat="false" ht="15" hidden="false" customHeight="false" outlineLevel="0" collapsed="false">
      <c r="A131" s="13"/>
      <c r="B131" s="13"/>
      <c r="C131" s="28"/>
      <c r="D131" s="13"/>
      <c r="E131" s="13"/>
      <c r="F131" s="13"/>
      <c r="G131" s="28"/>
      <c r="H131" s="13"/>
      <c r="I131" s="13" t="str">
        <f aca="false">IF(A131="","",IFERROR(INDEX(Pedidos!$D$2:$D$301,MATCH(B131,Pedidos!$A$2:$A$301,0)),"Pedido no encontrado"))</f>
        <v/>
      </c>
      <c r="J131" s="13" t="str">
        <f aca="false">IF(A131="","",IF(F131="Abierta",Control!$C$4-C131,IF(G131="","",G131-C131)))</f>
        <v/>
      </c>
      <c r="K131" s="13" t="str">
        <f aca="false">IF(A131="","",IF(I131="Pedido no encontrado","Pedido no encontrado",IF(AND(F131="Cerrada",G131=""),"Cerrada sin fecha de cierre",IF(AND(G131&lt;&gt;"",G131&lt;C131),"Cierre anterior a la apertura",""))))</f>
        <v/>
      </c>
    </row>
    <row r="132" customFormat="false" ht="15" hidden="false" customHeight="false" outlineLevel="0" collapsed="false">
      <c r="A132" s="13"/>
      <c r="B132" s="13"/>
      <c r="C132" s="28"/>
      <c r="D132" s="13"/>
      <c r="E132" s="13"/>
      <c r="F132" s="13"/>
      <c r="G132" s="28"/>
      <c r="H132" s="13"/>
      <c r="I132" s="13" t="str">
        <f aca="false">IF(A132="","",IFERROR(INDEX(Pedidos!$D$2:$D$301,MATCH(B132,Pedidos!$A$2:$A$301,0)),"Pedido no encontrado"))</f>
        <v/>
      </c>
      <c r="J132" s="13" t="str">
        <f aca="false">IF(A132="","",IF(F132="Abierta",Control!$C$4-C132,IF(G132="","",G132-C132)))</f>
        <v/>
      </c>
      <c r="K132" s="13" t="str">
        <f aca="false">IF(A132="","",IF(I132="Pedido no encontrado","Pedido no encontrado",IF(AND(F132="Cerrada",G132=""),"Cerrada sin fecha de cierre",IF(AND(G132&lt;&gt;"",G132&lt;C132),"Cierre anterior a la apertura",""))))</f>
        <v/>
      </c>
    </row>
    <row r="133" customFormat="false" ht="15" hidden="false" customHeight="false" outlineLevel="0" collapsed="false">
      <c r="A133" s="13"/>
      <c r="B133" s="13"/>
      <c r="C133" s="28"/>
      <c r="D133" s="13"/>
      <c r="E133" s="13"/>
      <c r="F133" s="13"/>
      <c r="G133" s="28"/>
      <c r="H133" s="13"/>
      <c r="I133" s="13" t="str">
        <f aca="false">IF(A133="","",IFERROR(INDEX(Pedidos!$D$2:$D$301,MATCH(B133,Pedidos!$A$2:$A$301,0)),"Pedido no encontrado"))</f>
        <v/>
      </c>
      <c r="J133" s="13" t="str">
        <f aca="false">IF(A133="","",IF(F133="Abierta",Control!$C$4-C133,IF(G133="","",G133-C133)))</f>
        <v/>
      </c>
      <c r="K133" s="13" t="str">
        <f aca="false">IF(A133="","",IF(I133="Pedido no encontrado","Pedido no encontrado",IF(AND(F133="Cerrada",G133=""),"Cerrada sin fecha de cierre",IF(AND(G133&lt;&gt;"",G133&lt;C133),"Cierre anterior a la apertura",""))))</f>
        <v/>
      </c>
    </row>
    <row r="134" customFormat="false" ht="15" hidden="false" customHeight="false" outlineLevel="0" collapsed="false">
      <c r="A134" s="13"/>
      <c r="B134" s="13"/>
      <c r="C134" s="28"/>
      <c r="D134" s="13"/>
      <c r="E134" s="13"/>
      <c r="F134" s="13"/>
      <c r="G134" s="28"/>
      <c r="H134" s="13"/>
      <c r="I134" s="13" t="str">
        <f aca="false">IF(A134="","",IFERROR(INDEX(Pedidos!$D$2:$D$301,MATCH(B134,Pedidos!$A$2:$A$301,0)),"Pedido no encontrado"))</f>
        <v/>
      </c>
      <c r="J134" s="13" t="str">
        <f aca="false">IF(A134="","",IF(F134="Abierta",Control!$C$4-C134,IF(G134="","",G134-C134)))</f>
        <v/>
      </c>
      <c r="K134" s="13" t="str">
        <f aca="false">IF(A134="","",IF(I134="Pedido no encontrado","Pedido no encontrado",IF(AND(F134="Cerrada",G134=""),"Cerrada sin fecha de cierre",IF(AND(G134&lt;&gt;"",G134&lt;C134),"Cierre anterior a la apertura",""))))</f>
        <v/>
      </c>
    </row>
    <row r="135" customFormat="false" ht="15" hidden="false" customHeight="false" outlineLevel="0" collapsed="false">
      <c r="A135" s="13"/>
      <c r="B135" s="13"/>
      <c r="C135" s="28"/>
      <c r="D135" s="13"/>
      <c r="E135" s="13"/>
      <c r="F135" s="13"/>
      <c r="G135" s="28"/>
      <c r="H135" s="13"/>
      <c r="I135" s="13" t="str">
        <f aca="false">IF(A135="","",IFERROR(INDEX(Pedidos!$D$2:$D$301,MATCH(B135,Pedidos!$A$2:$A$301,0)),"Pedido no encontrado"))</f>
        <v/>
      </c>
      <c r="J135" s="13" t="str">
        <f aca="false">IF(A135="","",IF(F135="Abierta",Control!$C$4-C135,IF(G135="","",G135-C135)))</f>
        <v/>
      </c>
      <c r="K135" s="13" t="str">
        <f aca="false">IF(A135="","",IF(I135="Pedido no encontrado","Pedido no encontrado",IF(AND(F135="Cerrada",G135=""),"Cerrada sin fecha de cierre",IF(AND(G135&lt;&gt;"",G135&lt;C135),"Cierre anterior a la apertura",""))))</f>
        <v/>
      </c>
    </row>
    <row r="136" customFormat="false" ht="15" hidden="false" customHeight="false" outlineLevel="0" collapsed="false">
      <c r="A136" s="13"/>
      <c r="B136" s="13"/>
      <c r="C136" s="28"/>
      <c r="D136" s="13"/>
      <c r="E136" s="13"/>
      <c r="F136" s="13"/>
      <c r="G136" s="28"/>
      <c r="H136" s="13"/>
      <c r="I136" s="13" t="str">
        <f aca="false">IF(A136="","",IFERROR(INDEX(Pedidos!$D$2:$D$301,MATCH(B136,Pedidos!$A$2:$A$301,0)),"Pedido no encontrado"))</f>
        <v/>
      </c>
      <c r="J136" s="13" t="str">
        <f aca="false">IF(A136="","",IF(F136="Abierta",Control!$C$4-C136,IF(G136="","",G136-C136)))</f>
        <v/>
      </c>
      <c r="K136" s="13" t="str">
        <f aca="false">IF(A136="","",IF(I136="Pedido no encontrado","Pedido no encontrado",IF(AND(F136="Cerrada",G136=""),"Cerrada sin fecha de cierre",IF(AND(G136&lt;&gt;"",G136&lt;C136),"Cierre anterior a la apertura",""))))</f>
        <v/>
      </c>
    </row>
    <row r="137" customFormat="false" ht="15" hidden="false" customHeight="false" outlineLevel="0" collapsed="false">
      <c r="A137" s="13"/>
      <c r="B137" s="13"/>
      <c r="C137" s="28"/>
      <c r="D137" s="13"/>
      <c r="E137" s="13"/>
      <c r="F137" s="13"/>
      <c r="G137" s="28"/>
      <c r="H137" s="13"/>
      <c r="I137" s="13" t="str">
        <f aca="false">IF(A137="","",IFERROR(INDEX(Pedidos!$D$2:$D$301,MATCH(B137,Pedidos!$A$2:$A$301,0)),"Pedido no encontrado"))</f>
        <v/>
      </c>
      <c r="J137" s="13" t="str">
        <f aca="false">IF(A137="","",IF(F137="Abierta",Control!$C$4-C137,IF(G137="","",G137-C137)))</f>
        <v/>
      </c>
      <c r="K137" s="13" t="str">
        <f aca="false">IF(A137="","",IF(I137="Pedido no encontrado","Pedido no encontrado",IF(AND(F137="Cerrada",G137=""),"Cerrada sin fecha de cierre",IF(AND(G137&lt;&gt;"",G137&lt;C137),"Cierre anterior a la apertura",""))))</f>
        <v/>
      </c>
    </row>
    <row r="138" customFormat="false" ht="15" hidden="false" customHeight="false" outlineLevel="0" collapsed="false">
      <c r="A138" s="13"/>
      <c r="B138" s="13"/>
      <c r="C138" s="28"/>
      <c r="D138" s="13"/>
      <c r="E138" s="13"/>
      <c r="F138" s="13"/>
      <c r="G138" s="28"/>
      <c r="H138" s="13"/>
      <c r="I138" s="13" t="str">
        <f aca="false">IF(A138="","",IFERROR(INDEX(Pedidos!$D$2:$D$301,MATCH(B138,Pedidos!$A$2:$A$301,0)),"Pedido no encontrado"))</f>
        <v/>
      </c>
      <c r="J138" s="13" t="str">
        <f aca="false">IF(A138="","",IF(F138="Abierta",Control!$C$4-C138,IF(G138="","",G138-C138)))</f>
        <v/>
      </c>
      <c r="K138" s="13" t="str">
        <f aca="false">IF(A138="","",IF(I138="Pedido no encontrado","Pedido no encontrado",IF(AND(F138="Cerrada",G138=""),"Cerrada sin fecha de cierre",IF(AND(G138&lt;&gt;"",G138&lt;C138),"Cierre anterior a la apertura",""))))</f>
        <v/>
      </c>
    </row>
    <row r="139" customFormat="false" ht="15" hidden="false" customHeight="false" outlineLevel="0" collapsed="false">
      <c r="A139" s="13"/>
      <c r="B139" s="13"/>
      <c r="C139" s="28"/>
      <c r="D139" s="13"/>
      <c r="E139" s="13"/>
      <c r="F139" s="13"/>
      <c r="G139" s="28"/>
      <c r="H139" s="13"/>
      <c r="I139" s="13" t="str">
        <f aca="false">IF(A139="","",IFERROR(INDEX(Pedidos!$D$2:$D$301,MATCH(B139,Pedidos!$A$2:$A$301,0)),"Pedido no encontrado"))</f>
        <v/>
      </c>
      <c r="J139" s="13" t="str">
        <f aca="false">IF(A139="","",IF(F139="Abierta",Control!$C$4-C139,IF(G139="","",G139-C139)))</f>
        <v/>
      </c>
      <c r="K139" s="13" t="str">
        <f aca="false">IF(A139="","",IF(I139="Pedido no encontrado","Pedido no encontrado",IF(AND(F139="Cerrada",G139=""),"Cerrada sin fecha de cierre",IF(AND(G139&lt;&gt;"",G139&lt;C139),"Cierre anterior a la apertura",""))))</f>
        <v/>
      </c>
    </row>
    <row r="140" customFormat="false" ht="15" hidden="false" customHeight="false" outlineLevel="0" collapsed="false">
      <c r="A140" s="13"/>
      <c r="B140" s="13"/>
      <c r="C140" s="28"/>
      <c r="D140" s="13"/>
      <c r="E140" s="13"/>
      <c r="F140" s="13"/>
      <c r="G140" s="28"/>
      <c r="H140" s="13"/>
      <c r="I140" s="13" t="str">
        <f aca="false">IF(A140="","",IFERROR(INDEX(Pedidos!$D$2:$D$301,MATCH(B140,Pedidos!$A$2:$A$301,0)),"Pedido no encontrado"))</f>
        <v/>
      </c>
      <c r="J140" s="13" t="str">
        <f aca="false">IF(A140="","",IF(F140="Abierta",Control!$C$4-C140,IF(G140="","",G140-C140)))</f>
        <v/>
      </c>
      <c r="K140" s="13" t="str">
        <f aca="false">IF(A140="","",IF(I140="Pedido no encontrado","Pedido no encontrado",IF(AND(F140="Cerrada",G140=""),"Cerrada sin fecha de cierre",IF(AND(G140&lt;&gt;"",G140&lt;C140),"Cierre anterior a la apertura",""))))</f>
        <v/>
      </c>
    </row>
    <row r="141" customFormat="false" ht="15" hidden="false" customHeight="false" outlineLevel="0" collapsed="false">
      <c r="A141" s="13"/>
      <c r="B141" s="13"/>
      <c r="C141" s="28"/>
      <c r="D141" s="13"/>
      <c r="E141" s="13"/>
      <c r="F141" s="13"/>
      <c r="G141" s="28"/>
      <c r="H141" s="13"/>
      <c r="I141" s="13" t="str">
        <f aca="false">IF(A141="","",IFERROR(INDEX(Pedidos!$D$2:$D$301,MATCH(B141,Pedidos!$A$2:$A$301,0)),"Pedido no encontrado"))</f>
        <v/>
      </c>
      <c r="J141" s="13" t="str">
        <f aca="false">IF(A141="","",IF(F141="Abierta",Control!$C$4-C141,IF(G141="","",G141-C141)))</f>
        <v/>
      </c>
      <c r="K141" s="13" t="str">
        <f aca="false">IF(A141="","",IF(I141="Pedido no encontrado","Pedido no encontrado",IF(AND(F141="Cerrada",G141=""),"Cerrada sin fecha de cierre",IF(AND(G141&lt;&gt;"",G141&lt;C141),"Cierre anterior a la apertura",""))))</f>
        <v/>
      </c>
    </row>
    <row r="142" customFormat="false" ht="15" hidden="false" customHeight="false" outlineLevel="0" collapsed="false">
      <c r="A142" s="13"/>
      <c r="B142" s="13"/>
      <c r="C142" s="28"/>
      <c r="D142" s="13"/>
      <c r="E142" s="13"/>
      <c r="F142" s="13"/>
      <c r="G142" s="28"/>
      <c r="H142" s="13"/>
      <c r="I142" s="13" t="str">
        <f aca="false">IF(A142="","",IFERROR(INDEX(Pedidos!$D$2:$D$301,MATCH(B142,Pedidos!$A$2:$A$301,0)),"Pedido no encontrado"))</f>
        <v/>
      </c>
      <c r="J142" s="13" t="str">
        <f aca="false">IF(A142="","",IF(F142="Abierta",Control!$C$4-C142,IF(G142="","",G142-C142)))</f>
        <v/>
      </c>
      <c r="K142" s="13" t="str">
        <f aca="false">IF(A142="","",IF(I142="Pedido no encontrado","Pedido no encontrado",IF(AND(F142="Cerrada",G142=""),"Cerrada sin fecha de cierre",IF(AND(G142&lt;&gt;"",G142&lt;C142),"Cierre anterior a la apertura",""))))</f>
        <v/>
      </c>
    </row>
    <row r="143" customFormat="false" ht="15" hidden="false" customHeight="false" outlineLevel="0" collapsed="false">
      <c r="A143" s="13"/>
      <c r="B143" s="13"/>
      <c r="C143" s="28"/>
      <c r="D143" s="13"/>
      <c r="E143" s="13"/>
      <c r="F143" s="13"/>
      <c r="G143" s="28"/>
      <c r="H143" s="13"/>
      <c r="I143" s="13" t="str">
        <f aca="false">IF(A143="","",IFERROR(INDEX(Pedidos!$D$2:$D$301,MATCH(B143,Pedidos!$A$2:$A$301,0)),"Pedido no encontrado"))</f>
        <v/>
      </c>
      <c r="J143" s="13" t="str">
        <f aca="false">IF(A143="","",IF(F143="Abierta",Control!$C$4-C143,IF(G143="","",G143-C143)))</f>
        <v/>
      </c>
      <c r="K143" s="13" t="str">
        <f aca="false">IF(A143="","",IF(I143="Pedido no encontrado","Pedido no encontrado",IF(AND(F143="Cerrada",G143=""),"Cerrada sin fecha de cierre",IF(AND(G143&lt;&gt;"",G143&lt;C143),"Cierre anterior a la apertura",""))))</f>
        <v/>
      </c>
    </row>
    <row r="144" customFormat="false" ht="15" hidden="false" customHeight="false" outlineLevel="0" collapsed="false">
      <c r="A144" s="13"/>
      <c r="B144" s="13"/>
      <c r="C144" s="28"/>
      <c r="D144" s="13"/>
      <c r="E144" s="13"/>
      <c r="F144" s="13"/>
      <c r="G144" s="28"/>
      <c r="H144" s="13"/>
      <c r="I144" s="13" t="str">
        <f aca="false">IF(A144="","",IFERROR(INDEX(Pedidos!$D$2:$D$301,MATCH(B144,Pedidos!$A$2:$A$301,0)),"Pedido no encontrado"))</f>
        <v/>
      </c>
      <c r="J144" s="13" t="str">
        <f aca="false">IF(A144="","",IF(F144="Abierta",Control!$C$4-C144,IF(G144="","",G144-C144)))</f>
        <v/>
      </c>
      <c r="K144" s="13" t="str">
        <f aca="false">IF(A144="","",IF(I144="Pedido no encontrado","Pedido no encontrado",IF(AND(F144="Cerrada",G144=""),"Cerrada sin fecha de cierre",IF(AND(G144&lt;&gt;"",G144&lt;C144),"Cierre anterior a la apertura",""))))</f>
        <v/>
      </c>
    </row>
    <row r="145" customFormat="false" ht="15" hidden="false" customHeight="false" outlineLevel="0" collapsed="false">
      <c r="A145" s="13"/>
      <c r="B145" s="13"/>
      <c r="C145" s="28"/>
      <c r="D145" s="13"/>
      <c r="E145" s="13"/>
      <c r="F145" s="13"/>
      <c r="G145" s="28"/>
      <c r="H145" s="13"/>
      <c r="I145" s="13" t="str">
        <f aca="false">IF(A145="","",IFERROR(INDEX(Pedidos!$D$2:$D$301,MATCH(B145,Pedidos!$A$2:$A$301,0)),"Pedido no encontrado"))</f>
        <v/>
      </c>
      <c r="J145" s="13" t="str">
        <f aca="false">IF(A145="","",IF(F145="Abierta",Control!$C$4-C145,IF(G145="","",G145-C145)))</f>
        <v/>
      </c>
      <c r="K145" s="13" t="str">
        <f aca="false">IF(A145="","",IF(I145="Pedido no encontrado","Pedido no encontrado",IF(AND(F145="Cerrada",G145=""),"Cerrada sin fecha de cierre",IF(AND(G145&lt;&gt;"",G145&lt;C145),"Cierre anterior a la apertura",""))))</f>
        <v/>
      </c>
    </row>
    <row r="146" customFormat="false" ht="15" hidden="false" customHeight="false" outlineLevel="0" collapsed="false">
      <c r="A146" s="13"/>
      <c r="B146" s="13"/>
      <c r="C146" s="28"/>
      <c r="D146" s="13"/>
      <c r="E146" s="13"/>
      <c r="F146" s="13"/>
      <c r="G146" s="28"/>
      <c r="H146" s="13"/>
      <c r="I146" s="13" t="str">
        <f aca="false">IF(A146="","",IFERROR(INDEX(Pedidos!$D$2:$D$301,MATCH(B146,Pedidos!$A$2:$A$301,0)),"Pedido no encontrado"))</f>
        <v/>
      </c>
      <c r="J146" s="13" t="str">
        <f aca="false">IF(A146="","",IF(F146="Abierta",Control!$C$4-C146,IF(G146="","",G146-C146)))</f>
        <v/>
      </c>
      <c r="K146" s="13" t="str">
        <f aca="false">IF(A146="","",IF(I146="Pedido no encontrado","Pedido no encontrado",IF(AND(F146="Cerrada",G146=""),"Cerrada sin fecha de cierre",IF(AND(G146&lt;&gt;"",G146&lt;C146),"Cierre anterior a la apertura",""))))</f>
        <v/>
      </c>
    </row>
    <row r="147" customFormat="false" ht="15" hidden="false" customHeight="false" outlineLevel="0" collapsed="false">
      <c r="A147" s="13"/>
      <c r="B147" s="13"/>
      <c r="C147" s="28"/>
      <c r="D147" s="13"/>
      <c r="E147" s="13"/>
      <c r="F147" s="13"/>
      <c r="G147" s="28"/>
      <c r="H147" s="13"/>
      <c r="I147" s="13" t="str">
        <f aca="false">IF(A147="","",IFERROR(INDEX(Pedidos!$D$2:$D$301,MATCH(B147,Pedidos!$A$2:$A$301,0)),"Pedido no encontrado"))</f>
        <v/>
      </c>
      <c r="J147" s="13" t="str">
        <f aca="false">IF(A147="","",IF(F147="Abierta",Control!$C$4-C147,IF(G147="","",G147-C147)))</f>
        <v/>
      </c>
      <c r="K147" s="13" t="str">
        <f aca="false">IF(A147="","",IF(I147="Pedido no encontrado","Pedido no encontrado",IF(AND(F147="Cerrada",G147=""),"Cerrada sin fecha de cierre",IF(AND(G147&lt;&gt;"",G147&lt;C147),"Cierre anterior a la apertura",""))))</f>
        <v/>
      </c>
    </row>
    <row r="148" customFormat="false" ht="15" hidden="false" customHeight="false" outlineLevel="0" collapsed="false">
      <c r="A148" s="13"/>
      <c r="B148" s="13"/>
      <c r="C148" s="28"/>
      <c r="D148" s="13"/>
      <c r="E148" s="13"/>
      <c r="F148" s="13"/>
      <c r="G148" s="28"/>
      <c r="H148" s="13"/>
      <c r="I148" s="13" t="str">
        <f aca="false">IF(A148="","",IFERROR(INDEX(Pedidos!$D$2:$D$301,MATCH(B148,Pedidos!$A$2:$A$301,0)),"Pedido no encontrado"))</f>
        <v/>
      </c>
      <c r="J148" s="13" t="str">
        <f aca="false">IF(A148="","",IF(F148="Abierta",Control!$C$4-C148,IF(G148="","",G148-C148)))</f>
        <v/>
      </c>
      <c r="K148" s="13" t="str">
        <f aca="false">IF(A148="","",IF(I148="Pedido no encontrado","Pedido no encontrado",IF(AND(F148="Cerrada",G148=""),"Cerrada sin fecha de cierre",IF(AND(G148&lt;&gt;"",G148&lt;C148),"Cierre anterior a la apertura",""))))</f>
        <v/>
      </c>
    </row>
    <row r="149" customFormat="false" ht="15" hidden="false" customHeight="false" outlineLevel="0" collapsed="false">
      <c r="A149" s="13"/>
      <c r="B149" s="13"/>
      <c r="C149" s="28"/>
      <c r="D149" s="13"/>
      <c r="E149" s="13"/>
      <c r="F149" s="13"/>
      <c r="G149" s="28"/>
      <c r="H149" s="13"/>
      <c r="I149" s="13" t="str">
        <f aca="false">IF(A149="","",IFERROR(INDEX(Pedidos!$D$2:$D$301,MATCH(B149,Pedidos!$A$2:$A$301,0)),"Pedido no encontrado"))</f>
        <v/>
      </c>
      <c r="J149" s="13" t="str">
        <f aca="false">IF(A149="","",IF(F149="Abierta",Control!$C$4-C149,IF(G149="","",G149-C149)))</f>
        <v/>
      </c>
      <c r="K149" s="13" t="str">
        <f aca="false">IF(A149="","",IF(I149="Pedido no encontrado","Pedido no encontrado",IF(AND(F149="Cerrada",G149=""),"Cerrada sin fecha de cierre",IF(AND(G149&lt;&gt;"",G149&lt;C149),"Cierre anterior a la apertura",""))))</f>
        <v/>
      </c>
    </row>
    <row r="150" customFormat="false" ht="15" hidden="false" customHeight="false" outlineLevel="0" collapsed="false">
      <c r="A150" s="13"/>
      <c r="B150" s="13"/>
      <c r="C150" s="28"/>
      <c r="D150" s="13"/>
      <c r="E150" s="13"/>
      <c r="F150" s="13"/>
      <c r="G150" s="28"/>
      <c r="H150" s="13"/>
      <c r="I150" s="13" t="str">
        <f aca="false">IF(A150="","",IFERROR(INDEX(Pedidos!$D$2:$D$301,MATCH(B150,Pedidos!$A$2:$A$301,0)),"Pedido no encontrado"))</f>
        <v/>
      </c>
      <c r="J150" s="13" t="str">
        <f aca="false">IF(A150="","",IF(F150="Abierta",Control!$C$4-C150,IF(G150="","",G150-C150)))</f>
        <v/>
      </c>
      <c r="K150" s="13" t="str">
        <f aca="false">IF(A150="","",IF(I150="Pedido no encontrado","Pedido no encontrado",IF(AND(F150="Cerrada",G150=""),"Cerrada sin fecha de cierre",IF(AND(G150&lt;&gt;"",G150&lt;C150),"Cierre anterior a la apertura",""))))</f>
        <v/>
      </c>
    </row>
    <row r="151" customFormat="false" ht="15" hidden="false" customHeight="false" outlineLevel="0" collapsed="false">
      <c r="A151" s="13"/>
      <c r="B151" s="13"/>
      <c r="C151" s="28"/>
      <c r="D151" s="13"/>
      <c r="E151" s="13"/>
      <c r="F151" s="13"/>
      <c r="G151" s="28"/>
      <c r="H151" s="13"/>
      <c r="I151" s="13" t="str">
        <f aca="false">IF(A151="","",IFERROR(INDEX(Pedidos!$D$2:$D$301,MATCH(B151,Pedidos!$A$2:$A$301,0)),"Pedido no encontrado"))</f>
        <v/>
      </c>
      <c r="J151" s="13" t="str">
        <f aca="false">IF(A151="","",IF(F151="Abierta",Control!$C$4-C151,IF(G151="","",G151-C151)))</f>
        <v/>
      </c>
      <c r="K151" s="13" t="str">
        <f aca="false">IF(A151="","",IF(I151="Pedido no encontrado","Pedido no encontrado",IF(AND(F151="Cerrada",G151=""),"Cerrada sin fecha de cierre",IF(AND(G151&lt;&gt;"",G151&lt;C151),"Cierre anterior a la apertura",""))))</f>
        <v/>
      </c>
    </row>
  </sheetData>
  <autoFilter ref="A1:K15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5"/>
  </cols>
  <sheetData>
    <row r="1" customFormat="false" ht="27.75" hidden="false" customHeight="true" outlineLevel="0" collapsed="false">
      <c r="A1" s="18" t="s">
        <v>87</v>
      </c>
      <c r="B1" s="18" t="s">
        <v>304</v>
      </c>
      <c r="C1" s="18" t="s">
        <v>305</v>
      </c>
      <c r="D1" s="18" t="s">
        <v>306</v>
      </c>
      <c r="E1" s="18" t="s">
        <v>307</v>
      </c>
      <c r="F1" s="18" t="s">
        <v>59</v>
      </c>
      <c r="G1" s="18" t="s">
        <v>308</v>
      </c>
    </row>
    <row r="2" customFormat="false" ht="15" hidden="false" customHeight="false" outlineLevel="0" collapsed="false">
      <c r="A2" s="13" t="s">
        <v>157</v>
      </c>
      <c r="B2" s="13" t="s">
        <v>309</v>
      </c>
      <c r="C2" s="13" t="s">
        <v>310</v>
      </c>
      <c r="D2" s="13" t="s">
        <v>311</v>
      </c>
      <c r="E2" s="13" t="s">
        <v>312</v>
      </c>
      <c r="F2" s="13" t="n">
        <f aca="false">COUNTIF(Pedidos!$B$2:$B$301,A2)</f>
        <v>3</v>
      </c>
      <c r="G2" s="21" t="n">
        <f aca="false">SUMIFS(Pedidos!$H$2:$H$301,Pedidos!$B$2:$B$301,A2,Pedidos!$J$2:$J$301,"&lt;&gt;Anulado")</f>
        <v>537</v>
      </c>
    </row>
    <row r="3" customFormat="false" ht="15" hidden="false" customHeight="false" outlineLevel="0" collapsed="false">
      <c r="A3" s="13" t="s">
        <v>122</v>
      </c>
      <c r="B3" s="13" t="s">
        <v>313</v>
      </c>
      <c r="C3" s="13" t="s">
        <v>310</v>
      </c>
      <c r="D3" s="13" t="s">
        <v>314</v>
      </c>
      <c r="E3" s="13" t="s">
        <v>315</v>
      </c>
      <c r="F3" s="13" t="n">
        <f aca="false">COUNTIF(Pedidos!$B$2:$B$301,A3)</f>
        <v>2</v>
      </c>
      <c r="G3" s="21" t="n">
        <f aca="false">SUMIFS(Pedidos!$H$2:$H$301,Pedidos!$B$2:$B$301,A3,Pedidos!$J$2:$J$301,"&lt;&gt;Anulado")</f>
        <v>249</v>
      </c>
    </row>
    <row r="4" customFormat="false" ht="15" hidden="false" customHeight="false" outlineLevel="0" collapsed="false">
      <c r="A4" s="13" t="s">
        <v>111</v>
      </c>
      <c r="B4" s="13" t="s">
        <v>316</v>
      </c>
      <c r="C4" s="13" t="s">
        <v>317</v>
      </c>
      <c r="D4" s="13" t="s">
        <v>318</v>
      </c>
      <c r="E4" s="13" t="s">
        <v>312</v>
      </c>
      <c r="F4" s="13" t="n">
        <f aca="false">COUNTIF(Pedidos!$B$2:$B$301,A4)</f>
        <v>9</v>
      </c>
      <c r="G4" s="21" t="n">
        <f aca="false">SUMIFS(Pedidos!$H$2:$H$301,Pedidos!$B$2:$B$301,A4,Pedidos!$J$2:$J$301,"&lt;&gt;Anulado")</f>
        <v>6572.7</v>
      </c>
    </row>
    <row r="5" customFormat="false" ht="15" hidden="false" customHeight="false" outlineLevel="0" collapsed="false">
      <c r="A5" s="13" t="s">
        <v>128</v>
      </c>
      <c r="B5" s="13" t="s">
        <v>319</v>
      </c>
      <c r="C5" s="13" t="s">
        <v>310</v>
      </c>
      <c r="D5" s="13" t="s">
        <v>320</v>
      </c>
      <c r="E5" s="13" t="s">
        <v>321</v>
      </c>
      <c r="F5" s="13" t="n">
        <f aca="false">COUNTIF(Pedidos!$B$2:$B$301,A5)</f>
        <v>2</v>
      </c>
      <c r="G5" s="21" t="n">
        <f aca="false">SUMIFS(Pedidos!$H$2:$H$301,Pedidos!$B$2:$B$301,A5,Pedidos!$J$2:$J$301,"&lt;&gt;Anulado")</f>
        <v>317.9</v>
      </c>
    </row>
    <row r="6" customFormat="false" ht="15" hidden="false" customHeight="false" outlineLevel="0" collapsed="false">
      <c r="A6" s="13" t="s">
        <v>114</v>
      </c>
      <c r="B6" s="13" t="s">
        <v>322</v>
      </c>
      <c r="C6" s="13" t="s">
        <v>310</v>
      </c>
      <c r="D6" s="13" t="s">
        <v>311</v>
      </c>
      <c r="E6" s="13" t="s">
        <v>312</v>
      </c>
      <c r="F6" s="13" t="n">
        <f aca="false">COUNTIF(Pedidos!$B$2:$B$301,A6)</f>
        <v>8</v>
      </c>
      <c r="G6" s="21" t="n">
        <f aca="false">SUMIFS(Pedidos!$H$2:$H$301,Pedidos!$B$2:$B$301,A6,Pedidos!$J$2:$J$301,"&lt;&gt;Anulado")</f>
        <v>3448.3</v>
      </c>
    </row>
    <row r="7" customFormat="false" ht="15" hidden="false" customHeight="false" outlineLevel="0" collapsed="false">
      <c r="A7" s="13" t="s">
        <v>323</v>
      </c>
      <c r="B7" s="13" t="s">
        <v>324</v>
      </c>
      <c r="C7" s="13" t="s">
        <v>310</v>
      </c>
      <c r="D7" s="13" t="s">
        <v>314</v>
      </c>
      <c r="E7" s="13" t="s">
        <v>325</v>
      </c>
      <c r="F7" s="13" t="n">
        <f aca="false">COUNTIF(Pedidos!$B$2:$B$301,A7)</f>
        <v>0</v>
      </c>
      <c r="G7" s="21" t="n">
        <f aca="false">SUMIFS(Pedidos!$H$2:$H$301,Pedidos!$B$2:$B$301,A7,Pedidos!$J$2:$J$301,"&lt;&gt;Anulado")</f>
        <v>0</v>
      </c>
    </row>
    <row r="8" customFormat="false" ht="15" hidden="false" customHeight="false" outlineLevel="0" collapsed="false">
      <c r="A8" s="13" t="s">
        <v>150</v>
      </c>
      <c r="B8" s="13" t="s">
        <v>326</v>
      </c>
      <c r="C8" s="13" t="s">
        <v>317</v>
      </c>
      <c r="D8" s="13" t="s">
        <v>327</v>
      </c>
      <c r="E8" s="13" t="s">
        <v>312</v>
      </c>
      <c r="F8" s="13" t="n">
        <f aca="false">COUNTIF(Pedidos!$B$2:$B$301,A8)</f>
        <v>10</v>
      </c>
      <c r="G8" s="21" t="n">
        <f aca="false">SUMIFS(Pedidos!$H$2:$H$301,Pedidos!$B$2:$B$301,A8,Pedidos!$J$2:$J$301,"&lt;&gt;Anulado")</f>
        <v>3234.5</v>
      </c>
    </row>
    <row r="9" customFormat="false" ht="15" hidden="false" customHeight="false" outlineLevel="0" collapsed="false">
      <c r="A9" s="13" t="s">
        <v>229</v>
      </c>
      <c r="B9" s="13" t="s">
        <v>328</v>
      </c>
      <c r="C9" s="13" t="s">
        <v>310</v>
      </c>
      <c r="D9" s="13" t="s">
        <v>320</v>
      </c>
      <c r="E9" s="13" t="s">
        <v>329</v>
      </c>
      <c r="F9" s="13" t="n">
        <f aca="false">COUNTIF(Pedidos!$B$2:$B$301,A9)</f>
        <v>1</v>
      </c>
      <c r="G9" s="21" t="n">
        <f aca="false">SUMIFS(Pedidos!$H$2:$H$301,Pedidos!$B$2:$B$301,A9,Pedidos!$J$2:$J$301,"&lt;&gt;Anulado")</f>
        <v>49.9</v>
      </c>
    </row>
    <row r="10" customFormat="false" ht="15" hidden="false" customHeight="false" outlineLevel="0" collapsed="false">
      <c r="A10" s="13" t="s">
        <v>164</v>
      </c>
      <c r="B10" s="13" t="s">
        <v>330</v>
      </c>
      <c r="C10" s="13" t="s">
        <v>310</v>
      </c>
      <c r="D10" s="13" t="s">
        <v>311</v>
      </c>
      <c r="E10" s="13" t="s">
        <v>312</v>
      </c>
      <c r="F10" s="13" t="n">
        <f aca="false">COUNTIF(Pedidos!$B$2:$B$301,A10)</f>
        <v>8</v>
      </c>
      <c r="G10" s="21" t="n">
        <f aca="false">SUMIFS(Pedidos!$H$2:$H$301,Pedidos!$B$2:$B$301,A10,Pedidos!$J$2:$J$301,"&lt;&gt;Anulado")</f>
        <v>3702.7</v>
      </c>
    </row>
    <row r="11" customFormat="false" ht="15" hidden="false" customHeight="false" outlineLevel="0" collapsed="false">
      <c r="A11" s="13" t="s">
        <v>119</v>
      </c>
      <c r="B11" s="13" t="s">
        <v>331</v>
      </c>
      <c r="C11" s="13" t="s">
        <v>310</v>
      </c>
      <c r="D11" s="13" t="s">
        <v>314</v>
      </c>
      <c r="E11" s="13" t="s">
        <v>312</v>
      </c>
      <c r="F11" s="13" t="n">
        <f aca="false">COUNTIF(Pedidos!$B$2:$B$301,A11)</f>
        <v>4</v>
      </c>
      <c r="G11" s="21" t="n">
        <f aca="false">SUMIFS(Pedidos!$H$2:$H$301,Pedidos!$B$2:$B$301,A11,Pedidos!$J$2:$J$301,"&lt;&gt;Anulado")</f>
        <v>413.8</v>
      </c>
    </row>
    <row r="12" customFormat="false" ht="15" hidden="false" customHeight="false" outlineLevel="0" collapsed="false">
      <c r="A12" s="13" t="s">
        <v>131</v>
      </c>
      <c r="B12" s="13" t="s">
        <v>332</v>
      </c>
      <c r="C12" s="13" t="s">
        <v>310</v>
      </c>
      <c r="D12" s="13" t="s">
        <v>311</v>
      </c>
      <c r="E12" s="13" t="s">
        <v>333</v>
      </c>
      <c r="F12" s="13" t="n">
        <f aca="false">COUNTIF(Pedidos!$B$2:$B$301,A12)</f>
        <v>5</v>
      </c>
      <c r="G12" s="21" t="n">
        <f aca="false">SUMIFS(Pedidos!$H$2:$H$301,Pedidos!$B$2:$B$301,A12,Pedidos!$J$2:$J$301,"&lt;&gt;Anulado")</f>
        <v>2047.7</v>
      </c>
    </row>
    <row r="13" customFormat="false" ht="15" hidden="false" customHeight="false" outlineLevel="0" collapsed="false">
      <c r="A13" s="13" t="s">
        <v>175</v>
      </c>
      <c r="B13" s="13" t="s">
        <v>334</v>
      </c>
      <c r="C13" s="13" t="s">
        <v>317</v>
      </c>
      <c r="D13" s="13" t="s">
        <v>327</v>
      </c>
      <c r="E13" s="13" t="s">
        <v>312</v>
      </c>
      <c r="F13" s="13" t="n">
        <f aca="false">COUNTIF(Pedidos!$B$2:$B$301,A13)</f>
        <v>6</v>
      </c>
      <c r="G13" s="21" t="n">
        <f aca="false">SUMIFS(Pedidos!$H$2:$H$301,Pedidos!$B$2:$B$301,A13,Pedidos!$J$2:$J$301,"&lt;&gt;Anulado")</f>
        <v>3545</v>
      </c>
    </row>
    <row r="14" customFormat="false" ht="15" hidden="false" customHeight="false" outlineLevel="0" collapsed="false">
      <c r="A14" s="13" t="s">
        <v>105</v>
      </c>
      <c r="B14" s="13" t="s">
        <v>335</v>
      </c>
      <c r="C14" s="13" t="s">
        <v>310</v>
      </c>
      <c r="D14" s="13" t="s">
        <v>320</v>
      </c>
      <c r="E14" s="13" t="s">
        <v>312</v>
      </c>
      <c r="F14" s="13" t="n">
        <f aca="false">COUNTIF(Pedidos!$B$2:$B$301,A14)</f>
        <v>9</v>
      </c>
      <c r="G14" s="21" t="n">
        <f aca="false">SUMIFS(Pedidos!$H$2:$H$301,Pedidos!$B$2:$B$301,A14,Pedidos!$J$2:$J$301,"&lt;&gt;Anulado")</f>
        <v>5075.6</v>
      </c>
    </row>
    <row r="15" customFormat="false" ht="15" hidden="false" customHeight="false" outlineLevel="0" collapsed="false">
      <c r="A15" s="13" t="s">
        <v>336</v>
      </c>
      <c r="B15" s="13" t="s">
        <v>337</v>
      </c>
      <c r="C15" s="13" t="s">
        <v>310</v>
      </c>
      <c r="D15" s="13" t="s">
        <v>314</v>
      </c>
      <c r="E15" s="13" t="s">
        <v>338</v>
      </c>
      <c r="F15" s="13" t="n">
        <f aca="false">COUNTIF(Pedidos!$B$2:$B$301,A15)</f>
        <v>0</v>
      </c>
      <c r="G15" s="21" t="n">
        <f aca="false">SUMIFS(Pedidos!$H$2:$H$301,Pedidos!$B$2:$B$301,A15,Pedidos!$J$2:$J$301,"&lt;&gt;Anulado")</f>
        <v>0</v>
      </c>
    </row>
    <row r="16" customFormat="false" ht="15" hidden="false" customHeight="false" outlineLevel="0" collapsed="false">
      <c r="A16" s="13" t="s">
        <v>137</v>
      </c>
      <c r="B16" s="13" t="s">
        <v>339</v>
      </c>
      <c r="C16" s="13" t="s">
        <v>310</v>
      </c>
      <c r="D16" s="13" t="s">
        <v>311</v>
      </c>
      <c r="E16" s="13" t="s">
        <v>312</v>
      </c>
      <c r="F16" s="13" t="n">
        <f aca="false">COUNTIF(Pedidos!$B$2:$B$301,A16)</f>
        <v>9</v>
      </c>
      <c r="G16" s="21" t="n">
        <f aca="false">SUMIFS(Pedidos!$H$2:$H$301,Pedidos!$B$2:$B$301,A16,Pedidos!$J$2:$J$301,"&lt;&gt;Anulado")</f>
        <v>2611.6</v>
      </c>
    </row>
    <row r="17" customFormat="false" ht="15" hidden="false" customHeight="false" outlineLevel="0" collapsed="false">
      <c r="A17" s="13" t="s">
        <v>142</v>
      </c>
      <c r="B17" s="13" t="s">
        <v>340</v>
      </c>
      <c r="C17" s="13" t="s">
        <v>310</v>
      </c>
      <c r="D17" s="13" t="s">
        <v>318</v>
      </c>
      <c r="E17" s="13" t="s">
        <v>315</v>
      </c>
      <c r="F17" s="13" t="n">
        <f aca="false">COUNTIF(Pedidos!$B$2:$B$301,A17)</f>
        <v>3</v>
      </c>
      <c r="G17" s="21" t="n">
        <f aca="false">SUMIFS(Pedidos!$H$2:$H$301,Pedidos!$B$2:$B$301,A17,Pedidos!$J$2:$J$301,"&lt;&gt;Anulado")</f>
        <v>1727</v>
      </c>
    </row>
    <row r="18" customFormat="false" ht="15" hidden="false" customHeight="false" outlineLevel="0" collapsed="false">
      <c r="A18" s="13" t="s">
        <v>341</v>
      </c>
      <c r="B18" s="13" t="s">
        <v>342</v>
      </c>
      <c r="C18" s="13" t="s">
        <v>310</v>
      </c>
      <c r="D18" s="13" t="s">
        <v>320</v>
      </c>
      <c r="E18" s="13" t="s">
        <v>312</v>
      </c>
      <c r="F18" s="13" t="n">
        <f aca="false">COUNTIF(Pedidos!$B$2:$B$301,A18)</f>
        <v>0</v>
      </c>
      <c r="G18" s="21" t="n">
        <f aca="false">SUMIFS(Pedidos!$H$2:$H$301,Pedidos!$B$2:$B$301,A18,Pedidos!$J$2:$J$301,"&lt;&gt;Anulado")</f>
        <v>0</v>
      </c>
    </row>
    <row r="19" customFormat="false" ht="15" hidden="false" customHeight="false" outlineLevel="0" collapsed="false">
      <c r="A19" s="13" t="s">
        <v>108</v>
      </c>
      <c r="B19" s="13" t="s">
        <v>343</v>
      </c>
      <c r="C19" s="13" t="s">
        <v>310</v>
      </c>
      <c r="D19" s="13" t="s">
        <v>311</v>
      </c>
      <c r="E19" s="13" t="s">
        <v>344</v>
      </c>
      <c r="F19" s="13" t="n">
        <f aca="false">COUNTIF(Pedidos!$B$2:$B$301,A19)</f>
        <v>8</v>
      </c>
      <c r="G19" s="21" t="n">
        <f aca="false">SUMIFS(Pedidos!$H$2:$H$301,Pedidos!$B$2:$B$301,A19,Pedidos!$J$2:$J$301,"&lt;&gt;Anulado")</f>
        <v>3965.8</v>
      </c>
    </row>
    <row r="20" customFormat="false" ht="15" hidden="false" customHeight="false" outlineLevel="0" collapsed="false">
      <c r="A20" s="13" t="s">
        <v>117</v>
      </c>
      <c r="B20" s="13" t="s">
        <v>345</v>
      </c>
      <c r="C20" s="13" t="s">
        <v>317</v>
      </c>
      <c r="D20" s="13" t="s">
        <v>318</v>
      </c>
      <c r="E20" s="13" t="s">
        <v>312</v>
      </c>
      <c r="F20" s="13" t="n">
        <f aca="false">COUNTIF(Pedidos!$B$2:$B$301,A20)</f>
        <v>10</v>
      </c>
      <c r="G20" s="21" t="n">
        <f aca="false">SUMIFS(Pedidos!$H$2:$H$301,Pedidos!$B$2:$B$301,A20,Pedidos!$J$2:$J$301,"&lt;&gt;Anulado")</f>
        <v>2359.2</v>
      </c>
    </row>
    <row r="21" customFormat="false" ht="15" hidden="false" customHeight="false" outlineLevel="0" collapsed="false">
      <c r="A21" s="13" t="s">
        <v>134</v>
      </c>
      <c r="B21" s="13" t="s">
        <v>346</v>
      </c>
      <c r="C21" s="13" t="s">
        <v>310</v>
      </c>
      <c r="D21" s="13" t="s">
        <v>314</v>
      </c>
      <c r="E21" s="13" t="s">
        <v>312</v>
      </c>
      <c r="F21" s="13" t="n">
        <f aca="false">COUNTIF(Pedidos!$B$2:$B$301,A21)</f>
        <v>2</v>
      </c>
      <c r="G21" s="21" t="n">
        <f aca="false">SUMIFS(Pedidos!$H$2:$H$301,Pedidos!$B$2:$B$301,A21,Pedidos!$J$2:$J$301,"&lt;&gt;Anulado")</f>
        <v>2299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3" min="3" style="0" width="13"/>
    <col collapsed="false" customWidth="true" hidden="false" outlineLevel="0" max="4" min="4" style="0" width="8"/>
    <col collapsed="false" customWidth="true" hidden="false" outlineLevel="0" max="5" min="5" style="0" width="30"/>
  </cols>
  <sheetData>
    <row r="2" customFormat="false" ht="18.55" hidden="false" customHeight="false" outlineLevel="0" collapsed="false">
      <c r="B2" s="2" t="s">
        <v>347</v>
      </c>
    </row>
    <row r="3" customFormat="false" ht="15" hidden="false" customHeight="false" outlineLevel="0" collapsed="false">
      <c r="B3" s="8" t="s">
        <v>348</v>
      </c>
    </row>
    <row r="5" customFormat="false" ht="27.75" hidden="false" customHeight="true" outlineLevel="0" collapsed="false">
      <c r="B5" s="18" t="s">
        <v>349</v>
      </c>
      <c r="C5" s="18" t="s">
        <v>350</v>
      </c>
      <c r="D5" s="18" t="s">
        <v>351</v>
      </c>
    </row>
    <row r="6" customFormat="false" ht="15" hidden="false" customHeight="false" outlineLevel="0" collapsed="false">
      <c r="B6" s="13" t="s">
        <v>352</v>
      </c>
      <c r="C6" s="13" t="s">
        <v>59</v>
      </c>
      <c r="D6" s="13" t="n">
        <f aca="false">COUNTIF(Pedidos!$T$2:$T$301,B6)</f>
        <v>1</v>
      </c>
    </row>
    <row r="7" customFormat="false" ht="15" hidden="false" customHeight="false" outlineLevel="0" collapsed="false">
      <c r="B7" s="13" t="s">
        <v>353</v>
      </c>
      <c r="C7" s="13" t="s">
        <v>59</v>
      </c>
      <c r="D7" s="13" t="n">
        <f aca="false">COUNTIF(Pedidos!$T$2:$T$301,B7)</f>
        <v>3</v>
      </c>
    </row>
    <row r="8" customFormat="false" ht="15" hidden="false" customHeight="false" outlineLevel="0" collapsed="false">
      <c r="B8" s="13" t="s">
        <v>354</v>
      </c>
      <c r="C8" s="13" t="s">
        <v>59</v>
      </c>
      <c r="D8" s="13" t="n">
        <f aca="false">COUNTIF(Pedidos!$T$2:$T$301,B8)</f>
        <v>1</v>
      </c>
    </row>
    <row r="9" customFormat="false" ht="15" hidden="false" customHeight="false" outlineLevel="0" collapsed="false">
      <c r="B9" s="13" t="s">
        <v>355</v>
      </c>
      <c r="C9" s="13" t="s">
        <v>59</v>
      </c>
      <c r="D9" s="13" t="n">
        <f aca="false">COUNTIF(Pedidos!$T$2:$T$301,B9)</f>
        <v>0</v>
      </c>
    </row>
    <row r="10" customFormat="false" ht="15" hidden="false" customHeight="false" outlineLevel="0" collapsed="false">
      <c r="B10" s="13" t="s">
        <v>356</v>
      </c>
      <c r="C10" s="13" t="s">
        <v>59</v>
      </c>
      <c r="D10" s="13" t="n">
        <f aca="false">COUNTIF(Pedidos!$T$2:$T$301,B10)</f>
        <v>0</v>
      </c>
    </row>
    <row r="11" customFormat="false" ht="15" hidden="false" customHeight="false" outlineLevel="0" collapsed="false">
      <c r="B11" s="13" t="s">
        <v>357</v>
      </c>
      <c r="C11" s="13" t="s">
        <v>59</v>
      </c>
      <c r="D11" s="13" t="n">
        <f aca="false">COUNTIF(Pedidos!$T$2:$T$301,B11)</f>
        <v>0</v>
      </c>
    </row>
    <row r="12" customFormat="false" ht="15" hidden="false" customHeight="false" outlineLevel="0" collapsed="false">
      <c r="B12" s="13" t="s">
        <v>358</v>
      </c>
      <c r="C12" s="13" t="s">
        <v>65</v>
      </c>
      <c r="D12" s="13" t="n">
        <f aca="false">COUNTIF(Incidencias!$K$2:$K$151,B12)</f>
        <v>0</v>
      </c>
    </row>
    <row r="13" customFormat="false" ht="15" hidden="false" customHeight="false" outlineLevel="0" collapsed="false">
      <c r="B13" s="13" t="s">
        <v>359</v>
      </c>
      <c r="C13" s="13" t="s">
        <v>65</v>
      </c>
      <c r="D13" s="13" t="n">
        <f aca="false">COUNTIF(Incidencias!$K$2:$K$151,B13)</f>
        <v>0</v>
      </c>
    </row>
    <row r="14" customFormat="false" ht="15" hidden="false" customHeight="false" outlineLevel="0" collapsed="false">
      <c r="B14" s="13" t="s">
        <v>360</v>
      </c>
      <c r="C14" s="13" t="s">
        <v>65</v>
      </c>
      <c r="D14" s="13" t="n">
        <f aca="false">COUNTIF(Incidencias!$K$2:$K$151,B14)</f>
        <v>0</v>
      </c>
    </row>
    <row r="17" customFormat="false" ht="15" hidden="false" customHeight="false" outlineLevel="0" collapsed="false">
      <c r="B17" s="17" t="s">
        <v>361</v>
      </c>
    </row>
    <row r="18" customFormat="false" ht="27.75" hidden="false" customHeight="true" outlineLevel="0" collapsed="false">
      <c r="B18" s="18" t="s">
        <v>47</v>
      </c>
      <c r="C18" s="18" t="s">
        <v>49</v>
      </c>
      <c r="D18" s="18" t="s">
        <v>51</v>
      </c>
      <c r="E18" s="18" t="s">
        <v>349</v>
      </c>
    </row>
    <row r="19" customFormat="false" ht="15" hidden="false" customHeight="false" outlineLevel="0" collapsed="false">
      <c r="B19" s="13" t="str">
        <f aca="false">IFERROR(INDEX(Pedidos!$A:$A,SMALL(Pedidos!$W$2:$W$301,1)),"")</f>
        <v>P-0441</v>
      </c>
      <c r="C19" s="13" t="str">
        <f aca="false">IFERROR(INDEX(Pedidos!$K:$K,SMALL(Pedidos!$W$2:$W$301,1)),"")</f>
        <v>Gestoría Ruiz y Molina</v>
      </c>
      <c r="D19" s="13" t="str">
        <f aca="false">IFERROR(INDEX(Pedidos!$J:$J,SMALL(Pedidos!$W$2:$W$301,1)),"")</f>
        <v>Entregado</v>
      </c>
      <c r="E19" s="13" t="str">
        <f aca="false">IFERROR(INDEX(Pedidos!$T:$T,SMALL(Pedidos!$W$2:$W$301,1)),"")</f>
        <v>Falta fecha prevista</v>
      </c>
    </row>
    <row r="20" customFormat="false" ht="15" hidden="false" customHeight="false" outlineLevel="0" collapsed="false">
      <c r="B20" s="13" t="str">
        <f aca="false">IFERROR(INDEX(Pedidos!$A:$A,SMALL(Pedidos!$W$2:$W$301,2)),"")</f>
        <v>P-0473</v>
      </c>
      <c r="C20" s="13" t="str">
        <f aca="false">IFERROR(INDEX(Pedidos!$K:$K,SMALL(Pedidos!$W$2:$W$301,2)),"")</f>
        <v>Sergio Domínguez Rey</v>
      </c>
      <c r="D20" s="13" t="str">
        <f aca="false">IFERROR(INDEX(Pedidos!$J:$J,SMALL(Pedidos!$W$2:$W$301,2)),"")</f>
        <v>Entregado</v>
      </c>
      <c r="E20" s="13" t="str">
        <f aca="false">IFERROR(INDEX(Pedidos!$T:$T,SMALL(Pedidos!$W$2:$W$301,2)),"")</f>
        <v>Entregado sin fecha de entrega</v>
      </c>
    </row>
    <row r="21" customFormat="false" ht="15" hidden="false" customHeight="false" outlineLevel="0" collapsed="false">
      <c r="B21" s="13" t="str">
        <f aca="false">IFERROR(INDEX(Pedidos!$A:$A,SMALL(Pedidos!$W$2:$W$301,3)),"")</f>
        <v>P-0477</v>
      </c>
      <c r="C21" s="13" t="str">
        <f aca="false">IFERROR(INDEX(Pedidos!$K:$K,SMALL(Pedidos!$W$2:$W$301,3)),"")</f>
        <v>Cliente no registrado</v>
      </c>
      <c r="D21" s="13" t="str">
        <f aca="false">IFERROR(INDEX(Pedidos!$J:$J,SMALL(Pedidos!$W$2:$W$301,3)),"")</f>
        <v>Entregado</v>
      </c>
      <c r="E21" s="13" t="str">
        <f aca="false">IFERROR(INDEX(Pedidos!$T:$T,SMALL(Pedidos!$W$2:$W$301,3)),"")</f>
        <v>Cliente sin dar de alta</v>
      </c>
    </row>
    <row r="22" customFormat="false" ht="15" hidden="false" customHeight="false" outlineLevel="0" collapsed="false">
      <c r="B22" s="13" t="str">
        <f aca="false">IFERROR(INDEX(Pedidos!$A:$A,SMALL(Pedidos!$W$2:$W$301,4)),"")</f>
        <v>P-0501</v>
      </c>
      <c r="C22" s="13" t="str">
        <f aca="false">IFERROR(INDEX(Pedidos!$K:$K,SMALL(Pedidos!$W$2:$W$301,4)),"")</f>
        <v>Academia Nevada Idiomas</v>
      </c>
      <c r="D22" s="13" t="str">
        <f aca="false">IFERROR(INDEX(Pedidos!$J:$J,SMALL(Pedidos!$W$2:$W$301,4)),"")</f>
        <v>En taller</v>
      </c>
      <c r="E22" s="13" t="str">
        <f aca="false">IFERROR(INDEX(Pedidos!$T:$T,SMALL(Pedidos!$W$2:$W$301,4)),"")</f>
        <v>Falta fecha prevista</v>
      </c>
    </row>
    <row r="23" customFormat="false" ht="15" hidden="false" customHeight="false" outlineLevel="0" collapsed="false">
      <c r="B23" s="13" t="str">
        <f aca="false">IFERROR(INDEX(Pedidos!$A:$A,SMALL(Pedidos!$W$2:$W$301,5)),"")</f>
        <v>P-0502</v>
      </c>
      <c r="C23" s="13" t="str">
        <f aca="false">IFERROR(INDEX(Pedidos!$K:$K,SMALL(Pedidos!$W$2:$W$301,5)),"")</f>
        <v>Andrea Castillo Pérez</v>
      </c>
      <c r="D23" s="13" t="str">
        <f aca="false">IFERROR(INDEX(Pedidos!$J:$J,SMALL(Pedidos!$W$2:$W$301,5)),"")</f>
        <v>En taller</v>
      </c>
      <c r="E23" s="13" t="str">
        <f aca="false">IFERROR(INDEX(Pedidos!$T:$T,SMALL(Pedidos!$W$2:$W$301,5)),"")</f>
        <v>Falta fecha prevista</v>
      </c>
    </row>
    <row r="24" customFormat="false" ht="15" hidden="false" customHeight="false" outlineLevel="0" collapsed="false">
      <c r="B24" s="13" t="str">
        <f aca="false">IFERROR(INDEX(Pedidos!$A:$A,SMALL(Pedidos!$W$2:$W$301,6)),"")</f>
        <v/>
      </c>
      <c r="C24" s="13" t="str">
        <f aca="false">IFERROR(INDEX(Pedidos!$K:$K,SMALL(Pedidos!$W$2:$W$301,6)),"")</f>
        <v/>
      </c>
      <c r="D24" s="13" t="str">
        <f aca="false">IFERROR(INDEX(Pedidos!$J:$J,SMALL(Pedidos!$W$2:$W$301,6)),"")</f>
        <v/>
      </c>
      <c r="E24" s="13" t="str">
        <f aca="false">IFERROR(INDEX(Pedidos!$T:$T,SMALL(Pedidos!$W$2:$W$301,6)),"")</f>
        <v/>
      </c>
    </row>
    <row r="25" customFormat="false" ht="15" hidden="false" customHeight="false" outlineLevel="0" collapsed="false">
      <c r="B25" s="13" t="str">
        <f aca="false">IFERROR(INDEX(Pedidos!$A:$A,SMALL(Pedidos!$W$2:$W$301,7)),"")</f>
        <v/>
      </c>
      <c r="C25" s="13" t="str">
        <f aca="false">IFERROR(INDEX(Pedidos!$K:$K,SMALL(Pedidos!$W$2:$W$301,7)),"")</f>
        <v/>
      </c>
      <c r="D25" s="13" t="str">
        <f aca="false">IFERROR(INDEX(Pedidos!$J:$J,SMALL(Pedidos!$W$2:$W$301,7)),"")</f>
        <v/>
      </c>
      <c r="E25" s="13" t="str">
        <f aca="false">IFERROR(INDEX(Pedidos!$T:$T,SMALL(Pedidos!$W$2:$W$301,7)),"")</f>
        <v/>
      </c>
    </row>
    <row r="26" customFormat="false" ht="15" hidden="false" customHeight="false" outlineLevel="0" collapsed="false">
      <c r="B26" s="13" t="str">
        <f aca="false">IFERROR(INDEX(Pedidos!$A:$A,SMALL(Pedidos!$W$2:$W$301,8)),"")</f>
        <v/>
      </c>
      <c r="C26" s="13" t="str">
        <f aca="false">IFERROR(INDEX(Pedidos!$K:$K,SMALL(Pedidos!$W$2:$W$301,8)),"")</f>
        <v/>
      </c>
      <c r="D26" s="13" t="str">
        <f aca="false">IFERROR(INDEX(Pedidos!$J:$J,SMALL(Pedidos!$W$2:$W$301,8)),"")</f>
        <v/>
      </c>
      <c r="E26" s="13" t="str">
        <f aca="false">IFERROR(INDEX(Pedidos!$T:$T,SMALL(Pedidos!$W$2:$W$301,8)),"")</f>
        <v/>
      </c>
    </row>
    <row r="27" customFormat="false" ht="15" hidden="false" customHeight="false" outlineLevel="0" collapsed="false">
      <c r="B27" s="13" t="str">
        <f aca="false">IFERROR(INDEX(Pedidos!$A:$A,SMALL(Pedidos!$W$2:$W$301,9)),"")</f>
        <v/>
      </c>
      <c r="C27" s="13" t="str">
        <f aca="false">IFERROR(INDEX(Pedidos!$K:$K,SMALL(Pedidos!$W$2:$W$301,9)),"")</f>
        <v/>
      </c>
      <c r="D27" s="13" t="str">
        <f aca="false">IFERROR(INDEX(Pedidos!$J:$J,SMALL(Pedidos!$W$2:$W$301,9)),"")</f>
        <v/>
      </c>
      <c r="E27" s="13" t="str">
        <f aca="false">IFERROR(INDEX(Pedidos!$T:$T,SMALL(Pedidos!$W$2:$W$301,9)),"")</f>
        <v/>
      </c>
    </row>
    <row r="28" customFormat="false" ht="15" hidden="false" customHeight="false" outlineLevel="0" collapsed="false">
      <c r="B28" s="13" t="str">
        <f aca="false">IFERROR(INDEX(Pedidos!$A:$A,SMALL(Pedidos!$W$2:$W$301,10)),"")</f>
        <v/>
      </c>
      <c r="C28" s="13" t="str">
        <f aca="false">IFERROR(INDEX(Pedidos!$K:$K,SMALL(Pedidos!$W$2:$W$301,10)),"")</f>
        <v/>
      </c>
      <c r="D28" s="13" t="str">
        <f aca="false">IFERROR(INDEX(Pedidos!$J:$J,SMALL(Pedidos!$W$2:$W$301,10)),"")</f>
        <v/>
      </c>
      <c r="E28" s="13" t="str">
        <f aca="false">IFERROR(INDEX(Pedidos!$T:$T,SMALL(Pedidos!$W$2:$W$301,10)),"")</f>
        <v/>
      </c>
    </row>
    <row r="29" customFormat="false" ht="15" hidden="false" customHeight="false" outlineLevel="0" collapsed="false">
      <c r="B29" s="13" t="str">
        <f aca="false">IFERROR(INDEX(Pedidos!$A:$A,SMALL(Pedidos!$W$2:$W$301,11)),"")</f>
        <v/>
      </c>
      <c r="C29" s="13" t="str">
        <f aca="false">IFERROR(INDEX(Pedidos!$K:$K,SMALL(Pedidos!$W$2:$W$301,11)),"")</f>
        <v/>
      </c>
      <c r="D29" s="13" t="str">
        <f aca="false">IFERROR(INDEX(Pedidos!$J:$J,SMALL(Pedidos!$W$2:$W$301,11)),"")</f>
        <v/>
      </c>
      <c r="E29" s="13" t="str">
        <f aca="false">IFERROR(INDEX(Pedidos!$T:$T,SMALL(Pedidos!$W$2:$W$301,11)),"")</f>
        <v/>
      </c>
    </row>
    <row r="30" customFormat="false" ht="15" hidden="false" customHeight="false" outlineLevel="0" collapsed="false">
      <c r="B30" s="13" t="str">
        <f aca="false">IFERROR(INDEX(Pedidos!$A:$A,SMALL(Pedidos!$W$2:$W$301,12)),"")</f>
        <v/>
      </c>
      <c r="C30" s="13" t="str">
        <f aca="false">IFERROR(INDEX(Pedidos!$K:$K,SMALL(Pedidos!$W$2:$W$301,12)),"")</f>
        <v/>
      </c>
      <c r="D30" s="13" t="str">
        <f aca="false">IFERROR(INDEX(Pedidos!$J:$J,SMALL(Pedidos!$W$2:$W$301,12)),"")</f>
        <v/>
      </c>
      <c r="E30" s="13" t="str">
        <f aca="false">IFERROR(INDEX(Pedidos!$T:$T,SMALL(Pedidos!$W$2:$W$301,12)),"")</f>
        <v/>
      </c>
    </row>
  </sheetData>
  <conditionalFormatting sqref="D6:D14">
    <cfRule type="expression" priority="2" aboveAverage="0" equalAverage="0" bottom="0" percent="0" rank="0" text="" dxfId="10">
      <formula>D6&gt;0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24"/>
    <col collapsed="false" customWidth="true" hidden="false" outlineLevel="0" max="7" min="7" style="0" width="22"/>
    <col collapsed="false" customWidth="true" hidden="false" outlineLevel="0" max="8" min="8" style="0" width="62"/>
  </cols>
  <sheetData>
    <row r="1" customFormat="false" ht="27.75" hidden="false" customHeight="true" outlineLevel="0" collapsed="false">
      <c r="A1" s="18" t="s">
        <v>362</v>
      </c>
      <c r="B1" s="18" t="s">
        <v>350</v>
      </c>
      <c r="C1" s="18" t="s">
        <v>363</v>
      </c>
      <c r="D1" s="18" t="s">
        <v>364</v>
      </c>
      <c r="E1" s="18" t="s">
        <v>365</v>
      </c>
      <c r="F1" s="18" t="s">
        <v>366</v>
      </c>
      <c r="G1" s="18" t="s">
        <v>367</v>
      </c>
      <c r="H1" s="18" t="s">
        <v>368</v>
      </c>
    </row>
    <row r="2" customFormat="false" ht="15" hidden="false" customHeight="false" outlineLevel="0" collapsed="false">
      <c r="A2" s="13" t="n">
        <v>1</v>
      </c>
      <c r="B2" s="13" t="s">
        <v>369</v>
      </c>
      <c r="C2" s="13" t="n">
        <v>5</v>
      </c>
      <c r="D2" s="13" t="s">
        <v>128</v>
      </c>
      <c r="E2" s="13" t="s">
        <v>304</v>
      </c>
      <c r="F2" s="13" t="s">
        <v>370</v>
      </c>
      <c r="G2" s="13" t="s">
        <v>319</v>
      </c>
      <c r="H2" s="13" t="s">
        <v>371</v>
      </c>
    </row>
    <row r="3" customFormat="false" ht="15" hidden="false" customHeight="false" outlineLevel="0" collapsed="false">
      <c r="A3" s="13" t="n">
        <v>2</v>
      </c>
      <c r="B3" s="13" t="s">
        <v>369</v>
      </c>
      <c r="C3" s="13" t="n">
        <v>6</v>
      </c>
      <c r="D3" s="13" t="s">
        <v>114</v>
      </c>
      <c r="E3" s="13" t="s">
        <v>306</v>
      </c>
      <c r="F3" s="13" t="s">
        <v>372</v>
      </c>
      <c r="G3" s="13" t="s">
        <v>311</v>
      </c>
      <c r="H3" s="13" t="s">
        <v>373</v>
      </c>
    </row>
    <row r="4" customFormat="false" ht="15" hidden="false" customHeight="false" outlineLevel="0" collapsed="false">
      <c r="A4" s="13" t="n">
        <v>3</v>
      </c>
      <c r="B4" s="13" t="s">
        <v>369</v>
      </c>
      <c r="C4" s="13" t="n">
        <v>10</v>
      </c>
      <c r="D4" s="13" t="s">
        <v>164</v>
      </c>
      <c r="E4" s="13" t="s">
        <v>304</v>
      </c>
      <c r="F4" s="13" t="s">
        <v>374</v>
      </c>
      <c r="G4" s="13" t="s">
        <v>330</v>
      </c>
      <c r="H4" s="13" t="s">
        <v>375</v>
      </c>
    </row>
    <row r="5" customFormat="false" ht="15" hidden="false" customHeight="false" outlineLevel="0" collapsed="false">
      <c r="A5" s="13" t="n">
        <v>4</v>
      </c>
      <c r="B5" s="13" t="s">
        <v>369</v>
      </c>
      <c r="C5" s="13" t="n">
        <v>12</v>
      </c>
      <c r="D5" s="13" t="s">
        <v>131</v>
      </c>
      <c r="E5" s="13" t="s">
        <v>306</v>
      </c>
      <c r="F5" s="13" t="s">
        <v>376</v>
      </c>
      <c r="G5" s="13" t="s">
        <v>311</v>
      </c>
      <c r="H5" s="13" t="s">
        <v>373</v>
      </c>
    </row>
    <row r="6" customFormat="false" ht="15" hidden="false" customHeight="false" outlineLevel="0" collapsed="false">
      <c r="A6" s="13" t="n">
        <v>5</v>
      </c>
      <c r="B6" s="13" t="s">
        <v>369</v>
      </c>
      <c r="C6" s="13" t="n">
        <v>16</v>
      </c>
      <c r="D6" s="13" t="s">
        <v>137</v>
      </c>
      <c r="E6" s="13" t="s">
        <v>304</v>
      </c>
      <c r="F6" s="13" t="s">
        <v>377</v>
      </c>
      <c r="G6" s="13" t="s">
        <v>339</v>
      </c>
      <c r="H6" s="13" t="s">
        <v>375</v>
      </c>
    </row>
    <row r="7" customFormat="false" ht="15" hidden="false" customHeight="false" outlineLevel="0" collapsed="false">
      <c r="A7" s="13" t="n">
        <v>6</v>
      </c>
      <c r="B7" s="13" t="s">
        <v>369</v>
      </c>
      <c r="C7" s="13" t="n">
        <v>18</v>
      </c>
      <c r="D7" s="13" t="s">
        <v>341</v>
      </c>
      <c r="E7" s="13" t="s">
        <v>306</v>
      </c>
      <c r="F7" s="13" t="s">
        <v>378</v>
      </c>
      <c r="G7" s="13" t="s">
        <v>320</v>
      </c>
      <c r="H7" s="13" t="s">
        <v>373</v>
      </c>
    </row>
    <row r="8" customFormat="false" ht="15" hidden="false" customHeight="false" outlineLevel="0" collapsed="false">
      <c r="A8" s="13" t="n">
        <v>7</v>
      </c>
      <c r="B8" s="13" t="s">
        <v>59</v>
      </c>
      <c r="C8" s="13" t="n">
        <v>7</v>
      </c>
      <c r="D8" s="13" t="s">
        <v>118</v>
      </c>
      <c r="E8" s="13" t="s">
        <v>93</v>
      </c>
      <c r="F8" s="13" t="s">
        <v>379</v>
      </c>
      <c r="G8" s="13" t="s">
        <v>380</v>
      </c>
      <c r="H8" s="13" t="s">
        <v>381</v>
      </c>
    </row>
    <row r="9" customFormat="false" ht="15" hidden="false" customHeight="false" outlineLevel="0" collapsed="false">
      <c r="A9" s="13" t="n">
        <v>8</v>
      </c>
      <c r="B9" s="13" t="s">
        <v>59</v>
      </c>
      <c r="C9" s="13" t="n">
        <v>8</v>
      </c>
      <c r="D9" s="13" t="s">
        <v>121</v>
      </c>
      <c r="E9" s="13" t="s">
        <v>95</v>
      </c>
      <c r="F9" s="13" t="s">
        <v>382</v>
      </c>
      <c r="G9" s="13" t="s">
        <v>8</v>
      </c>
      <c r="H9" s="13" t="s">
        <v>383</v>
      </c>
    </row>
    <row r="10" customFormat="false" ht="15" hidden="false" customHeight="false" outlineLevel="0" collapsed="false">
      <c r="A10" s="13" t="n">
        <v>9</v>
      </c>
      <c r="B10" s="13" t="s">
        <v>59</v>
      </c>
      <c r="C10" s="13" t="n">
        <v>12</v>
      </c>
      <c r="D10" s="13" t="s">
        <v>130</v>
      </c>
      <c r="E10" s="13" t="s">
        <v>95</v>
      </c>
      <c r="F10" s="13" t="s">
        <v>384</v>
      </c>
      <c r="G10" s="13" t="s">
        <v>7</v>
      </c>
      <c r="H10" s="13" t="s">
        <v>383</v>
      </c>
    </row>
    <row r="11" customFormat="false" ht="15" hidden="false" customHeight="false" outlineLevel="0" collapsed="false">
      <c r="A11" s="13" t="n">
        <v>10</v>
      </c>
      <c r="B11" s="13" t="s">
        <v>59</v>
      </c>
      <c r="C11" s="13" t="n">
        <v>14</v>
      </c>
      <c r="D11" s="13" t="s">
        <v>136</v>
      </c>
      <c r="E11" s="13" t="s">
        <v>88</v>
      </c>
      <c r="F11" s="13" t="s">
        <v>385</v>
      </c>
      <c r="G11" s="13" t="s">
        <v>385</v>
      </c>
      <c r="H11" s="13" t="s">
        <v>386</v>
      </c>
    </row>
    <row r="12" customFormat="false" ht="15" hidden="false" customHeight="false" outlineLevel="0" collapsed="false">
      <c r="A12" s="13" t="n">
        <v>11</v>
      </c>
      <c r="B12" s="13" t="s">
        <v>59</v>
      </c>
      <c r="C12" s="13" t="n">
        <v>15</v>
      </c>
      <c r="D12" s="13" t="s">
        <v>139</v>
      </c>
      <c r="E12" s="13" t="s">
        <v>95</v>
      </c>
      <c r="F12" s="13" t="s">
        <v>387</v>
      </c>
      <c r="G12" s="13" t="s">
        <v>7</v>
      </c>
      <c r="H12" s="13" t="s">
        <v>383</v>
      </c>
    </row>
    <row r="13" customFormat="false" ht="15" hidden="false" customHeight="false" outlineLevel="0" collapsed="false">
      <c r="A13" s="13" t="n">
        <v>12</v>
      </c>
      <c r="B13" s="13" t="s">
        <v>59</v>
      </c>
      <c r="C13" s="13" t="n">
        <v>16</v>
      </c>
      <c r="D13" s="13" t="s">
        <v>141</v>
      </c>
      <c r="E13" s="13" t="s">
        <v>95</v>
      </c>
      <c r="F13" s="13" t="s">
        <v>387</v>
      </c>
      <c r="G13" s="13" t="s">
        <v>7</v>
      </c>
      <c r="H13" s="13" t="s">
        <v>383</v>
      </c>
    </row>
    <row r="14" customFormat="false" ht="15" hidden="false" customHeight="false" outlineLevel="0" collapsed="false">
      <c r="A14" s="13" t="n">
        <v>13</v>
      </c>
      <c r="B14" s="13" t="s">
        <v>59</v>
      </c>
      <c r="C14" s="13" t="n">
        <v>18</v>
      </c>
      <c r="D14" s="13" t="s">
        <v>145</v>
      </c>
      <c r="E14" s="13" t="s">
        <v>95</v>
      </c>
      <c r="F14" s="13" t="s">
        <v>384</v>
      </c>
      <c r="G14" s="13" t="s">
        <v>7</v>
      </c>
      <c r="H14" s="13" t="s">
        <v>383</v>
      </c>
    </row>
    <row r="15" customFormat="false" ht="15" hidden="false" customHeight="false" outlineLevel="0" collapsed="false">
      <c r="A15" s="13" t="n">
        <v>14</v>
      </c>
      <c r="B15" s="13" t="s">
        <v>59</v>
      </c>
      <c r="C15" s="13" t="n">
        <v>19</v>
      </c>
      <c r="D15" s="13" t="s">
        <v>147</v>
      </c>
      <c r="E15" s="13" t="s">
        <v>93</v>
      </c>
      <c r="F15" s="13" t="s">
        <v>388</v>
      </c>
      <c r="G15" s="13" t="s">
        <v>389</v>
      </c>
      <c r="H15" s="13" t="s">
        <v>381</v>
      </c>
    </row>
    <row r="16" customFormat="false" ht="15" hidden="false" customHeight="false" outlineLevel="0" collapsed="false">
      <c r="A16" s="13" t="n">
        <v>15</v>
      </c>
      <c r="B16" s="13" t="s">
        <v>59</v>
      </c>
      <c r="C16" s="13" t="n">
        <v>20</v>
      </c>
      <c r="D16" s="13" t="s">
        <v>149</v>
      </c>
      <c r="E16" s="13" t="s">
        <v>95</v>
      </c>
      <c r="F16" s="13" t="s">
        <v>384</v>
      </c>
      <c r="G16" s="13" t="s">
        <v>7</v>
      </c>
      <c r="H16" s="13" t="s">
        <v>383</v>
      </c>
    </row>
    <row r="17" customFormat="false" ht="15" hidden="false" customHeight="false" outlineLevel="0" collapsed="false">
      <c r="A17" s="13" t="n">
        <v>16</v>
      </c>
      <c r="B17" s="13" t="s">
        <v>59</v>
      </c>
      <c r="C17" s="13" t="n">
        <v>23</v>
      </c>
      <c r="D17" s="13" t="s">
        <v>153</v>
      </c>
      <c r="E17" s="13" t="s">
        <v>390</v>
      </c>
      <c r="F17" s="13" t="s">
        <v>391</v>
      </c>
      <c r="G17" s="13" t="s">
        <v>392</v>
      </c>
      <c r="H17" s="13" t="s">
        <v>393</v>
      </c>
    </row>
    <row r="18" customFormat="false" ht="15" hidden="false" customHeight="false" outlineLevel="0" collapsed="false">
      <c r="A18" s="13" t="n">
        <v>17</v>
      </c>
      <c r="B18" s="13" t="s">
        <v>59</v>
      </c>
      <c r="C18" s="13" t="n">
        <v>24</v>
      </c>
      <c r="D18" s="13" t="s">
        <v>154</v>
      </c>
      <c r="E18" s="13" t="s">
        <v>95</v>
      </c>
      <c r="F18" s="13" t="s">
        <v>387</v>
      </c>
      <c r="G18" s="13" t="s">
        <v>7</v>
      </c>
      <c r="H18" s="13" t="s">
        <v>383</v>
      </c>
    </row>
    <row r="19" customFormat="false" ht="15" hidden="false" customHeight="false" outlineLevel="0" collapsed="false">
      <c r="A19" s="13" t="n">
        <v>18</v>
      </c>
      <c r="B19" s="13" t="s">
        <v>59</v>
      </c>
      <c r="C19" s="13" t="n">
        <v>26</v>
      </c>
      <c r="D19" s="13" t="s">
        <v>159</v>
      </c>
      <c r="E19" s="13" t="s">
        <v>95</v>
      </c>
      <c r="F19" s="13" t="s">
        <v>387</v>
      </c>
      <c r="G19" s="13" t="s">
        <v>7</v>
      </c>
      <c r="H19" s="13" t="s">
        <v>383</v>
      </c>
    </row>
    <row r="20" customFormat="false" ht="15" hidden="false" customHeight="false" outlineLevel="0" collapsed="false">
      <c r="A20" s="13" t="n">
        <v>19</v>
      </c>
      <c r="B20" s="13" t="s">
        <v>59</v>
      </c>
      <c r="C20" s="13" t="n">
        <v>27</v>
      </c>
      <c r="D20" s="13" t="s">
        <v>161</v>
      </c>
      <c r="E20" s="13" t="s">
        <v>95</v>
      </c>
      <c r="F20" s="13" t="s">
        <v>387</v>
      </c>
      <c r="G20" s="13" t="s">
        <v>7</v>
      </c>
      <c r="H20" s="13" t="s">
        <v>383</v>
      </c>
    </row>
    <row r="21" customFormat="false" ht="15" hidden="false" customHeight="false" outlineLevel="0" collapsed="false">
      <c r="A21" s="13" t="n">
        <v>20</v>
      </c>
      <c r="B21" s="13" t="s">
        <v>59</v>
      </c>
      <c r="C21" s="13" t="n">
        <v>30</v>
      </c>
      <c r="D21" s="13" t="s">
        <v>166</v>
      </c>
      <c r="E21" s="13" t="s">
        <v>86</v>
      </c>
      <c r="F21" s="13" t="s">
        <v>394</v>
      </c>
      <c r="G21" s="13" t="s">
        <v>166</v>
      </c>
      <c r="H21" s="13" t="s">
        <v>395</v>
      </c>
    </row>
    <row r="22" customFormat="false" ht="15" hidden="false" customHeight="false" outlineLevel="0" collapsed="false">
      <c r="A22" s="13" t="n">
        <v>21</v>
      </c>
      <c r="B22" s="13" t="s">
        <v>59</v>
      </c>
      <c r="C22" s="13" t="n">
        <v>30</v>
      </c>
      <c r="D22" s="13" t="s">
        <v>166</v>
      </c>
      <c r="E22" s="13" t="s">
        <v>95</v>
      </c>
      <c r="F22" s="13" t="s">
        <v>387</v>
      </c>
      <c r="G22" s="13" t="s">
        <v>7</v>
      </c>
      <c r="H22" s="13" t="s">
        <v>383</v>
      </c>
    </row>
    <row r="23" customFormat="false" ht="15" hidden="false" customHeight="false" outlineLevel="0" collapsed="false">
      <c r="A23" s="13" t="n">
        <v>22</v>
      </c>
      <c r="B23" s="13" t="s">
        <v>59</v>
      </c>
      <c r="C23" s="13" t="n">
        <v>32</v>
      </c>
      <c r="D23" s="13" t="s">
        <v>169</v>
      </c>
      <c r="E23" s="13" t="s">
        <v>91</v>
      </c>
      <c r="F23" s="13" t="s">
        <v>396</v>
      </c>
      <c r="G23" s="13" t="s">
        <v>396</v>
      </c>
      <c r="H23" s="13" t="s">
        <v>397</v>
      </c>
    </row>
    <row r="24" customFormat="false" ht="15" hidden="false" customHeight="false" outlineLevel="0" collapsed="false">
      <c r="A24" s="13" t="n">
        <v>23</v>
      </c>
      <c r="B24" s="13" t="s">
        <v>59</v>
      </c>
      <c r="C24" s="13" t="n">
        <v>33</v>
      </c>
      <c r="D24" s="13" t="s">
        <v>170</v>
      </c>
      <c r="E24" s="13" t="s">
        <v>95</v>
      </c>
      <c r="F24" s="13" t="s">
        <v>398</v>
      </c>
      <c r="G24" s="13" t="s">
        <v>7</v>
      </c>
      <c r="H24" s="13" t="s">
        <v>383</v>
      </c>
    </row>
    <row r="25" customFormat="false" ht="15" hidden="false" customHeight="false" outlineLevel="0" collapsed="false">
      <c r="A25" s="13" t="n">
        <v>24</v>
      </c>
      <c r="B25" s="13" t="s">
        <v>59</v>
      </c>
      <c r="C25" s="13" t="n">
        <v>36</v>
      </c>
      <c r="D25" s="13" t="s">
        <v>174</v>
      </c>
      <c r="E25" s="13" t="s">
        <v>93</v>
      </c>
      <c r="F25" s="13" t="s">
        <v>399</v>
      </c>
      <c r="G25" s="13" t="s">
        <v>400</v>
      </c>
      <c r="H25" s="13" t="s">
        <v>381</v>
      </c>
    </row>
    <row r="26" customFormat="false" ht="15" hidden="false" customHeight="false" outlineLevel="0" collapsed="false">
      <c r="A26" s="13" t="n">
        <v>25</v>
      </c>
      <c r="B26" s="13" t="s">
        <v>59</v>
      </c>
      <c r="C26" s="13" t="n">
        <v>36</v>
      </c>
      <c r="D26" s="13" t="s">
        <v>174</v>
      </c>
      <c r="E26" s="13" t="s">
        <v>95</v>
      </c>
      <c r="F26" s="13" t="s">
        <v>398</v>
      </c>
      <c r="G26" s="13" t="s">
        <v>7</v>
      </c>
      <c r="H26" s="13" t="s">
        <v>383</v>
      </c>
    </row>
    <row r="27" customFormat="false" ht="15" hidden="false" customHeight="false" outlineLevel="0" collapsed="false">
      <c r="A27" s="13" t="n">
        <v>26</v>
      </c>
      <c r="B27" s="13" t="s">
        <v>59</v>
      </c>
      <c r="C27" s="13" t="n">
        <v>39</v>
      </c>
      <c r="D27" s="13" t="s">
        <v>179</v>
      </c>
      <c r="E27" s="13" t="s">
        <v>95</v>
      </c>
      <c r="F27" s="13" t="s">
        <v>398</v>
      </c>
      <c r="G27" s="13" t="s">
        <v>7</v>
      </c>
      <c r="H27" s="13" t="s">
        <v>383</v>
      </c>
    </row>
    <row r="28" customFormat="false" ht="15" hidden="false" customHeight="false" outlineLevel="0" collapsed="false">
      <c r="A28" s="13" t="n">
        <v>27</v>
      </c>
      <c r="B28" s="13" t="s">
        <v>59</v>
      </c>
      <c r="C28" s="13" t="n">
        <v>40</v>
      </c>
      <c r="D28" s="13" t="s">
        <v>180</v>
      </c>
      <c r="E28" s="13" t="s">
        <v>95</v>
      </c>
      <c r="F28" s="13" t="s">
        <v>401</v>
      </c>
      <c r="G28" s="13" t="s">
        <v>5</v>
      </c>
      <c r="H28" s="13" t="s">
        <v>383</v>
      </c>
    </row>
    <row r="29" customFormat="false" ht="15" hidden="false" customHeight="false" outlineLevel="0" collapsed="false">
      <c r="A29" s="13" t="n">
        <v>28</v>
      </c>
      <c r="B29" s="13" t="s">
        <v>59</v>
      </c>
      <c r="C29" s="13" t="n">
        <v>43</v>
      </c>
      <c r="D29" s="13" t="s">
        <v>183</v>
      </c>
      <c r="E29" s="13" t="s">
        <v>91</v>
      </c>
      <c r="F29" s="13" t="s">
        <v>402</v>
      </c>
      <c r="G29" s="13" t="s">
        <v>402</v>
      </c>
      <c r="H29" s="13" t="s">
        <v>386</v>
      </c>
    </row>
    <row r="30" customFormat="false" ht="15" hidden="false" customHeight="false" outlineLevel="0" collapsed="false">
      <c r="A30" s="13" t="n">
        <v>29</v>
      </c>
      <c r="B30" s="13" t="s">
        <v>59</v>
      </c>
      <c r="C30" s="13" t="n">
        <v>51</v>
      </c>
      <c r="D30" s="13" t="s">
        <v>195</v>
      </c>
      <c r="E30" s="13" t="s">
        <v>93</v>
      </c>
      <c r="F30" s="13" t="s">
        <v>403</v>
      </c>
      <c r="G30" s="13" t="s">
        <v>404</v>
      </c>
      <c r="H30" s="13" t="s">
        <v>381</v>
      </c>
    </row>
    <row r="31" customFormat="false" ht="15" hidden="false" customHeight="false" outlineLevel="0" collapsed="false">
      <c r="A31" s="13" t="n">
        <v>30</v>
      </c>
      <c r="B31" s="13" t="s">
        <v>59</v>
      </c>
      <c r="C31" s="13" t="n">
        <v>56</v>
      </c>
      <c r="D31" s="13" t="s">
        <v>201</v>
      </c>
      <c r="E31" s="13" t="s">
        <v>390</v>
      </c>
      <c r="F31" s="13" t="s">
        <v>405</v>
      </c>
      <c r="G31" s="13" t="s">
        <v>392</v>
      </c>
      <c r="H31" s="13" t="s">
        <v>393</v>
      </c>
    </row>
    <row r="32" customFormat="false" ht="15" hidden="false" customHeight="false" outlineLevel="0" collapsed="false">
      <c r="A32" s="13" t="n">
        <v>31</v>
      </c>
      <c r="B32" s="13" t="s">
        <v>59</v>
      </c>
      <c r="C32" s="13" t="n">
        <v>59</v>
      </c>
      <c r="D32" s="13" t="s">
        <v>205</v>
      </c>
      <c r="E32" s="13" t="s">
        <v>86</v>
      </c>
      <c r="F32" s="13" t="s">
        <v>406</v>
      </c>
      <c r="G32" s="13" t="s">
        <v>205</v>
      </c>
      <c r="H32" s="13" t="s">
        <v>395</v>
      </c>
    </row>
    <row r="33" customFormat="false" ht="15" hidden="false" customHeight="false" outlineLevel="0" collapsed="false">
      <c r="A33" s="13" t="n">
        <v>32</v>
      </c>
      <c r="B33" s="13" t="s">
        <v>59</v>
      </c>
      <c r="C33" s="13" t="n">
        <v>59</v>
      </c>
      <c r="D33" s="13" t="s">
        <v>205</v>
      </c>
      <c r="E33" s="13" t="s">
        <v>95</v>
      </c>
      <c r="F33" s="13" t="s">
        <v>387</v>
      </c>
      <c r="G33" s="13" t="s">
        <v>7</v>
      </c>
      <c r="H33" s="13" t="s">
        <v>383</v>
      </c>
    </row>
    <row r="34" customFormat="false" ht="15" hidden="false" customHeight="false" outlineLevel="0" collapsed="false">
      <c r="A34" s="13" t="n">
        <v>33</v>
      </c>
      <c r="B34" s="13" t="s">
        <v>59</v>
      </c>
      <c r="C34" s="13" t="n">
        <v>65</v>
      </c>
      <c r="D34" s="13" t="s">
        <v>213</v>
      </c>
      <c r="E34" s="13" t="s">
        <v>93</v>
      </c>
      <c r="F34" s="13" t="s">
        <v>407</v>
      </c>
      <c r="G34" s="13" t="s">
        <v>408</v>
      </c>
      <c r="H34" s="13" t="s">
        <v>381</v>
      </c>
    </row>
    <row r="35" customFormat="false" ht="15" hidden="false" customHeight="false" outlineLevel="0" collapsed="false">
      <c r="A35" s="13" t="n">
        <v>34</v>
      </c>
      <c r="B35" s="13" t="s">
        <v>59</v>
      </c>
      <c r="C35" s="13" t="n">
        <v>65</v>
      </c>
      <c r="D35" s="13" t="s">
        <v>213</v>
      </c>
      <c r="E35" s="13" t="s">
        <v>92</v>
      </c>
      <c r="F35" s="13" t="s">
        <v>396</v>
      </c>
      <c r="G35" s="13" t="s">
        <v>396</v>
      </c>
      <c r="H35" s="13" t="s">
        <v>409</v>
      </c>
    </row>
    <row r="36" customFormat="false" ht="15" hidden="false" customHeight="false" outlineLevel="0" collapsed="false">
      <c r="A36" s="13" t="n">
        <v>35</v>
      </c>
      <c r="B36" s="13" t="s">
        <v>59</v>
      </c>
      <c r="C36" s="13" t="n">
        <v>66</v>
      </c>
      <c r="D36" s="13" t="s">
        <v>214</v>
      </c>
      <c r="E36" s="13" t="s">
        <v>95</v>
      </c>
      <c r="F36" s="13" t="s">
        <v>398</v>
      </c>
      <c r="G36" s="13" t="s">
        <v>7</v>
      </c>
      <c r="H36" s="13" t="s">
        <v>383</v>
      </c>
    </row>
    <row r="37" customFormat="false" ht="15" hidden="false" customHeight="false" outlineLevel="0" collapsed="false">
      <c r="A37" s="13" t="n">
        <v>36</v>
      </c>
      <c r="B37" s="13" t="s">
        <v>59</v>
      </c>
      <c r="C37" s="13" t="n">
        <v>69</v>
      </c>
      <c r="D37" s="13" t="s">
        <v>217</v>
      </c>
      <c r="E37" s="13" t="s">
        <v>95</v>
      </c>
      <c r="F37" s="13" t="s">
        <v>398</v>
      </c>
      <c r="G37" s="13" t="s">
        <v>7</v>
      </c>
      <c r="H37" s="13" t="s">
        <v>383</v>
      </c>
    </row>
    <row r="38" customFormat="false" ht="15" hidden="false" customHeight="false" outlineLevel="0" collapsed="false">
      <c r="A38" s="13" t="n">
        <v>37</v>
      </c>
      <c r="B38" s="13" t="s">
        <v>59</v>
      </c>
      <c r="C38" s="13" t="n">
        <v>75</v>
      </c>
      <c r="D38" s="13" t="s">
        <v>224</v>
      </c>
      <c r="E38" s="13" t="s">
        <v>88</v>
      </c>
      <c r="F38" s="13" t="s">
        <v>410</v>
      </c>
      <c r="G38" s="13" t="s">
        <v>411</v>
      </c>
      <c r="H38" s="13" t="s">
        <v>386</v>
      </c>
    </row>
    <row r="39" customFormat="false" ht="15" hidden="false" customHeight="false" outlineLevel="0" collapsed="false">
      <c r="A39" s="13" t="n">
        <v>38</v>
      </c>
      <c r="B39" s="13" t="s">
        <v>59</v>
      </c>
      <c r="C39" s="13" t="n">
        <v>82</v>
      </c>
      <c r="D39" s="13" t="s">
        <v>237</v>
      </c>
      <c r="E39" s="13" t="s">
        <v>95</v>
      </c>
      <c r="F39" s="13" t="s">
        <v>412</v>
      </c>
      <c r="G39" s="13" t="s">
        <v>3</v>
      </c>
      <c r="H39" s="13" t="s">
        <v>383</v>
      </c>
    </row>
    <row r="40" customFormat="false" ht="15" hidden="false" customHeight="false" outlineLevel="0" collapsed="false">
      <c r="A40" s="13" t="n">
        <v>39</v>
      </c>
      <c r="B40" s="13" t="s">
        <v>59</v>
      </c>
      <c r="C40" s="13" t="n">
        <v>83</v>
      </c>
      <c r="D40" s="13" t="s">
        <v>238</v>
      </c>
      <c r="E40" s="13" t="s">
        <v>93</v>
      </c>
      <c r="F40" s="13" t="s">
        <v>413</v>
      </c>
      <c r="G40" s="13" t="s">
        <v>414</v>
      </c>
      <c r="H40" s="13" t="s">
        <v>381</v>
      </c>
    </row>
    <row r="41" customFormat="false" ht="15" hidden="false" customHeight="false" outlineLevel="0" collapsed="false">
      <c r="A41" s="13" t="n">
        <v>40</v>
      </c>
      <c r="B41" s="13" t="s">
        <v>59</v>
      </c>
      <c r="C41" s="13" t="n">
        <v>83</v>
      </c>
      <c r="D41" s="13" t="s">
        <v>238</v>
      </c>
      <c r="E41" s="13" t="s">
        <v>95</v>
      </c>
      <c r="F41" s="13" t="s">
        <v>398</v>
      </c>
      <c r="G41" s="13" t="s">
        <v>7</v>
      </c>
      <c r="H41" s="13" t="s">
        <v>383</v>
      </c>
    </row>
    <row r="42" customFormat="false" ht="15" hidden="false" customHeight="false" outlineLevel="0" collapsed="false">
      <c r="A42" s="13" t="n">
        <v>41</v>
      </c>
      <c r="B42" s="13" t="s">
        <v>59</v>
      </c>
      <c r="C42" s="13" t="n">
        <v>89</v>
      </c>
      <c r="D42" s="13" t="s">
        <v>244</v>
      </c>
      <c r="E42" s="13" t="s">
        <v>390</v>
      </c>
      <c r="F42" s="13" t="s">
        <v>415</v>
      </c>
      <c r="G42" s="13" t="s">
        <v>392</v>
      </c>
      <c r="H42" s="13" t="s">
        <v>393</v>
      </c>
    </row>
    <row r="43" customFormat="false" ht="15" hidden="false" customHeight="false" outlineLevel="0" collapsed="false">
      <c r="A43" s="13" t="n">
        <v>42</v>
      </c>
      <c r="B43" s="13" t="s">
        <v>59</v>
      </c>
      <c r="C43" s="13" t="n">
        <v>91</v>
      </c>
      <c r="D43" s="13" t="s">
        <v>246</v>
      </c>
      <c r="E43" s="13" t="s">
        <v>95</v>
      </c>
      <c r="F43" s="13" t="s">
        <v>416</v>
      </c>
      <c r="G43" s="13" t="s">
        <v>5</v>
      </c>
      <c r="H43" s="13" t="s">
        <v>383</v>
      </c>
    </row>
    <row r="44" customFormat="false" ht="15" hidden="false" customHeight="false" outlineLevel="0" collapsed="false">
      <c r="A44" s="13" t="n">
        <v>43</v>
      </c>
      <c r="B44" s="13" t="s">
        <v>59</v>
      </c>
      <c r="C44" s="13" t="n">
        <v>93</v>
      </c>
      <c r="D44" s="13" t="s">
        <v>248</v>
      </c>
      <c r="E44" s="13" t="s">
        <v>95</v>
      </c>
      <c r="F44" s="13" t="s">
        <v>412</v>
      </c>
      <c r="G44" s="13" t="s">
        <v>3</v>
      </c>
      <c r="H44" s="13" t="s">
        <v>383</v>
      </c>
    </row>
    <row r="45" customFormat="false" ht="15" hidden="false" customHeight="false" outlineLevel="0" collapsed="false">
      <c r="A45" s="13" t="n">
        <v>44</v>
      </c>
      <c r="B45" s="13" t="s">
        <v>59</v>
      </c>
      <c r="C45" s="13" t="n">
        <v>94</v>
      </c>
      <c r="D45" s="13" t="s">
        <v>249</v>
      </c>
      <c r="E45" s="13" t="s">
        <v>95</v>
      </c>
      <c r="F45" s="13" t="s">
        <v>417</v>
      </c>
      <c r="G45" s="13" t="s">
        <v>2</v>
      </c>
      <c r="H45" s="13" t="s">
        <v>383</v>
      </c>
    </row>
    <row r="46" customFormat="false" ht="15" hidden="false" customHeight="false" outlineLevel="0" collapsed="false">
      <c r="A46" s="13" t="n">
        <v>45</v>
      </c>
      <c r="B46" s="13" t="s">
        <v>59</v>
      </c>
      <c r="C46" s="13" t="n">
        <v>94</v>
      </c>
      <c r="D46" s="13" t="s">
        <v>249</v>
      </c>
      <c r="E46" s="13" t="s">
        <v>91</v>
      </c>
      <c r="F46" s="13" t="s">
        <v>396</v>
      </c>
      <c r="G46" s="13" t="s">
        <v>396</v>
      </c>
      <c r="H46" s="13" t="s">
        <v>397</v>
      </c>
    </row>
    <row r="47" customFormat="false" ht="15" hidden="false" customHeight="false" outlineLevel="0" collapsed="false">
      <c r="A47" s="13" t="n">
        <v>46</v>
      </c>
      <c r="B47" s="13" t="s">
        <v>59</v>
      </c>
      <c r="C47" s="13" t="n">
        <v>95</v>
      </c>
      <c r="D47" s="13" t="s">
        <v>250</v>
      </c>
      <c r="E47" s="13" t="s">
        <v>93</v>
      </c>
      <c r="F47" s="13" t="s">
        <v>418</v>
      </c>
      <c r="G47" s="13" t="s">
        <v>419</v>
      </c>
      <c r="H47" s="13" t="s">
        <v>381</v>
      </c>
    </row>
    <row r="48" customFormat="false" ht="15" hidden="false" customHeight="false" outlineLevel="0" collapsed="false">
      <c r="A48" s="13" t="n">
        <v>47</v>
      </c>
      <c r="B48" s="13" t="s">
        <v>59</v>
      </c>
      <c r="C48" s="13" t="n">
        <v>95</v>
      </c>
      <c r="D48" s="13" t="s">
        <v>250</v>
      </c>
      <c r="E48" s="13" t="s">
        <v>91</v>
      </c>
      <c r="F48" s="13" t="s">
        <v>396</v>
      </c>
      <c r="G48" s="13" t="s">
        <v>396</v>
      </c>
      <c r="H48" s="13" t="s">
        <v>397</v>
      </c>
    </row>
    <row r="49" customFormat="false" ht="15" hidden="false" customHeight="false" outlineLevel="0" collapsed="false">
      <c r="A49" s="13" t="n">
        <v>48</v>
      </c>
      <c r="B49" s="13" t="s">
        <v>59</v>
      </c>
      <c r="C49" s="13" t="n">
        <v>96</v>
      </c>
      <c r="D49" s="13" t="s">
        <v>251</v>
      </c>
      <c r="E49" s="13" t="s">
        <v>95</v>
      </c>
      <c r="F49" s="13" t="s">
        <v>412</v>
      </c>
      <c r="G49" s="13" t="s">
        <v>3</v>
      </c>
      <c r="H49" s="13" t="s">
        <v>383</v>
      </c>
    </row>
    <row r="50" customFormat="false" ht="15" hidden="false" customHeight="false" outlineLevel="0" collapsed="false">
      <c r="A50" s="13" t="n">
        <v>49</v>
      </c>
      <c r="B50" s="13" t="s">
        <v>59</v>
      </c>
      <c r="C50" s="13" t="n">
        <v>97</v>
      </c>
      <c r="D50" s="13" t="s">
        <v>252</v>
      </c>
      <c r="E50" s="13" t="s">
        <v>95</v>
      </c>
      <c r="F50" s="13" t="s">
        <v>420</v>
      </c>
      <c r="G50" s="13" t="s">
        <v>0</v>
      </c>
      <c r="H50" s="13" t="s">
        <v>383</v>
      </c>
    </row>
    <row r="51" customFormat="false" ht="15" hidden="false" customHeight="false" outlineLevel="0" collapsed="false">
      <c r="A51" s="13" t="n">
        <v>50</v>
      </c>
      <c r="B51" s="13" t="s">
        <v>59</v>
      </c>
      <c r="C51" s="13" t="n">
        <v>100</v>
      </c>
      <c r="D51" s="13" t="s">
        <v>256</v>
      </c>
      <c r="E51" s="13" t="s">
        <v>95</v>
      </c>
      <c r="F51" s="13" t="s">
        <v>412</v>
      </c>
      <c r="G51" s="13" t="s">
        <v>3</v>
      </c>
      <c r="H51" s="13" t="s">
        <v>383</v>
      </c>
    </row>
    <row r="52" customFormat="false" ht="15" hidden="false" customHeight="false" outlineLevel="0" collapsed="false">
      <c r="A52" s="13" t="n">
        <v>51</v>
      </c>
      <c r="B52" s="13" t="s">
        <v>59</v>
      </c>
      <c r="C52" s="13" t="n">
        <v>104</v>
      </c>
      <c r="D52" s="13" t="s">
        <v>260</v>
      </c>
      <c r="E52" s="13" t="s">
        <v>95</v>
      </c>
      <c r="F52" s="13" t="s">
        <v>420</v>
      </c>
      <c r="G52" s="13" t="s">
        <v>0</v>
      </c>
      <c r="H52" s="13" t="s">
        <v>383</v>
      </c>
    </row>
    <row r="53" customFormat="false" ht="15" hidden="false" customHeight="false" outlineLevel="0" collapsed="false">
      <c r="A53" s="13" t="n">
        <v>52</v>
      </c>
      <c r="B53" s="13" t="s">
        <v>59</v>
      </c>
      <c r="C53" s="13" t="n">
        <v>69</v>
      </c>
      <c r="D53" s="13" t="s">
        <v>217</v>
      </c>
      <c r="E53" s="13" t="s">
        <v>87</v>
      </c>
      <c r="F53" s="13" t="s">
        <v>218</v>
      </c>
      <c r="G53" s="13" t="s">
        <v>218</v>
      </c>
      <c r="H53" s="13" t="s">
        <v>421</v>
      </c>
    </row>
    <row r="54" customFormat="false" ht="15" hidden="false" customHeight="false" outlineLevel="0" collapsed="false">
      <c r="A54" s="13" t="n">
        <v>53</v>
      </c>
      <c r="B54" s="13" t="s">
        <v>65</v>
      </c>
      <c r="C54" s="13" t="n">
        <v>6</v>
      </c>
      <c r="D54" s="13" t="s">
        <v>279</v>
      </c>
      <c r="E54" s="13" t="s">
        <v>89</v>
      </c>
      <c r="F54" s="13" t="s">
        <v>422</v>
      </c>
      <c r="G54" s="13" t="s">
        <v>79</v>
      </c>
      <c r="H54" s="13" t="s">
        <v>423</v>
      </c>
    </row>
    <row r="55" customFormat="false" ht="15" hidden="false" customHeight="false" outlineLevel="0" collapsed="false">
      <c r="A55" s="13" t="n">
        <v>54</v>
      </c>
      <c r="B55" s="13" t="s">
        <v>65</v>
      </c>
      <c r="C55" s="13" t="n">
        <v>11</v>
      </c>
      <c r="D55" s="13" t="s">
        <v>290</v>
      </c>
      <c r="E55" s="13" t="s">
        <v>95</v>
      </c>
      <c r="F55" s="13" t="s">
        <v>424</v>
      </c>
      <c r="G55" s="13" t="s">
        <v>270</v>
      </c>
      <c r="H55" s="13" t="s">
        <v>383</v>
      </c>
    </row>
    <row r="56" customFormat="false" ht="15" hidden="false" customHeight="false" outlineLevel="0" collapsed="false">
      <c r="A56" s="13" t="n">
        <v>55</v>
      </c>
      <c r="B56" s="13" t="s">
        <v>65</v>
      </c>
      <c r="C56" s="13" t="n">
        <v>15</v>
      </c>
      <c r="D56" s="13" t="s">
        <v>297</v>
      </c>
      <c r="E56" s="13" t="s">
        <v>86</v>
      </c>
      <c r="F56" s="13" t="s">
        <v>425</v>
      </c>
      <c r="G56" s="13" t="s">
        <v>180</v>
      </c>
      <c r="H56" s="13" t="s">
        <v>426</v>
      </c>
    </row>
  </sheetData>
  <autoFilter ref="A1:H5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2"/>
    <col collapsed="false" customWidth="true" hidden="false" outlineLevel="0" max="3" min="3" style="0" width="46"/>
    <col collapsed="false" customWidth="true" hidden="false" outlineLevel="0" max="4" min="4" style="0" width="34"/>
  </cols>
  <sheetData>
    <row r="1" customFormat="false" ht="27.75" hidden="false" customHeight="true" outlineLevel="0" collapsed="false">
      <c r="A1" s="18" t="s">
        <v>427</v>
      </c>
      <c r="B1" s="18" t="s">
        <v>428</v>
      </c>
      <c r="C1" s="18" t="s">
        <v>429</v>
      </c>
      <c r="D1" s="18" t="s">
        <v>430</v>
      </c>
    </row>
    <row r="2" customFormat="false" ht="35.05" hidden="false" customHeight="false" outlineLevel="0" collapsed="false">
      <c r="A2" s="31" t="s">
        <v>431</v>
      </c>
      <c r="B2" s="31" t="s">
        <v>432</v>
      </c>
      <c r="C2" s="31" t="s">
        <v>433</v>
      </c>
      <c r="D2" s="31" t="s">
        <v>434</v>
      </c>
    </row>
    <row r="3" customFormat="false" ht="35.05" hidden="false" customHeight="false" outlineLevel="0" collapsed="false">
      <c r="A3" s="31" t="s">
        <v>435</v>
      </c>
      <c r="B3" s="31" t="s">
        <v>436</v>
      </c>
      <c r="C3" s="31" t="s">
        <v>437</v>
      </c>
      <c r="D3" s="31" t="s">
        <v>438</v>
      </c>
    </row>
    <row r="4" customFormat="false" ht="35.05" hidden="false" customHeight="false" outlineLevel="0" collapsed="false">
      <c r="A4" s="31" t="s">
        <v>439</v>
      </c>
      <c r="B4" s="31" t="s">
        <v>440</v>
      </c>
      <c r="C4" s="31" t="s">
        <v>441</v>
      </c>
      <c r="D4" s="31" t="s">
        <v>442</v>
      </c>
    </row>
    <row r="5" customFormat="false" ht="35.05" hidden="false" customHeight="false" outlineLevel="0" collapsed="false">
      <c r="A5" s="31" t="s">
        <v>443</v>
      </c>
      <c r="B5" s="31" t="s">
        <v>444</v>
      </c>
      <c r="C5" s="31" t="s">
        <v>445</v>
      </c>
      <c r="D5" s="31" t="s">
        <v>446</v>
      </c>
    </row>
    <row r="6" customFormat="false" ht="23.85" hidden="false" customHeight="false" outlineLevel="0" collapsed="false">
      <c r="A6" s="31" t="s">
        <v>447</v>
      </c>
      <c r="B6" s="31" t="s">
        <v>448</v>
      </c>
      <c r="C6" s="31" t="s">
        <v>449</v>
      </c>
      <c r="D6" s="31" t="s">
        <v>450</v>
      </c>
    </row>
    <row r="7" customFormat="false" ht="23.85" hidden="false" customHeight="false" outlineLevel="0" collapsed="false">
      <c r="A7" s="31" t="s">
        <v>451</v>
      </c>
      <c r="B7" s="31" t="s">
        <v>452</v>
      </c>
      <c r="C7" s="31" t="s">
        <v>453</v>
      </c>
      <c r="D7" s="31" t="s">
        <v>454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2026-10-06T17:18:58Z</dcterms:created>
  <dc:creator>Rosa Isela Rodríguez Ruiz</dc:creator>
  <dc:description/>
  <dc:language>en-US</dc:language>
  <cp:lastModifiedBy/>
  <dcterms:modified xsi:type="dcterms:W3CDTF">2026-10-06T19:19:00Z</dcterms:modified>
  <cp:revision>1</cp:revision>
  <dc:subject/>
  <dc:title>Control de pedidos e incidencias · Coyote Store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